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Janka\_Malé centrum\Aktivity\Akcie_2016\ČR\"/>
    </mc:Choice>
  </mc:AlternateContent>
  <bookViews>
    <workbookView xWindow="0" yWindow="0" windowWidth="20490" windowHeight="6855"/>
  </bookViews>
  <sheets>
    <sheet name="Palgrave Macmillan výprodej" sheetId="8" r:id="rId1"/>
  </sheets>
  <calcPr calcId="152511"/>
</workbook>
</file>

<file path=xl/calcChain.xml><?xml version="1.0" encoding="utf-8"?>
<calcChain xmlns="http://schemas.openxmlformats.org/spreadsheetml/2006/main">
  <c r="D793" i="8" l="1"/>
  <c r="D745" i="8"/>
  <c r="D766" i="8"/>
  <c r="D702" i="8"/>
  <c r="D764" i="8"/>
  <c r="D288" i="8"/>
  <c r="D758" i="8"/>
  <c r="D772" i="8"/>
  <c r="D769" i="8"/>
  <c r="D14" i="8"/>
  <c r="D735" i="8"/>
  <c r="D790" i="8"/>
  <c r="D799" i="8"/>
  <c r="D781" i="8"/>
  <c r="D698" i="8"/>
  <c r="D771" i="8"/>
  <c r="D208" i="8"/>
  <c r="D783" i="8"/>
  <c r="D770" i="8"/>
  <c r="D803" i="8"/>
  <c r="D804" i="8"/>
  <c r="D816" i="8"/>
  <c r="D815" i="8"/>
  <c r="D742" i="8"/>
  <c r="D759" i="8"/>
  <c r="D811" i="8"/>
  <c r="D809" i="8"/>
  <c r="D810" i="8"/>
  <c r="D740" i="8"/>
  <c r="D209" i="8"/>
  <c r="D743" i="8"/>
  <c r="D805" i="8"/>
  <c r="D289" i="8"/>
  <c r="D290" i="8"/>
  <c r="D812" i="8"/>
  <c r="D777" i="8"/>
  <c r="D802" i="8"/>
  <c r="D773" i="8"/>
  <c r="D756" i="8"/>
  <c r="D267" i="8"/>
  <c r="D768" i="8"/>
  <c r="D787" i="8"/>
  <c r="D751" i="8"/>
  <c r="D750" i="8"/>
  <c r="D754" i="8"/>
  <c r="D765" i="8"/>
  <c r="D789" i="8"/>
  <c r="D776" i="8"/>
  <c r="D732" i="8"/>
  <c r="D545" i="8"/>
  <c r="D782" i="8"/>
  <c r="D785" i="8"/>
  <c r="D737" i="8"/>
  <c r="D216" i="8"/>
  <c r="D689" i="8"/>
  <c r="D690" i="8"/>
  <c r="D806" i="8"/>
  <c r="D801" i="8"/>
  <c r="D262" i="8"/>
  <c r="D243" i="8"/>
  <c r="D206" i="8"/>
  <c r="D207" i="8"/>
  <c r="D807" i="8"/>
  <c r="D555" i="8"/>
  <c r="D749" i="8"/>
  <c r="D215" i="8"/>
  <c r="D784" i="8"/>
  <c r="D744" i="8"/>
  <c r="D15" i="8"/>
  <c r="D746" i="8"/>
  <c r="D213" i="8"/>
  <c r="D738" i="8"/>
  <c r="D212" i="8"/>
  <c r="D739" i="8"/>
  <c r="D214" i="8"/>
  <c r="D218" i="8"/>
  <c r="D733" i="8"/>
  <c r="D734" i="8"/>
  <c r="D762" i="8"/>
  <c r="D731" i="8"/>
  <c r="D813" i="8"/>
  <c r="D817" i="8"/>
  <c r="D788" i="8"/>
  <c r="D217" i="8"/>
  <c r="D659" i="8"/>
  <c r="D753" i="8"/>
  <c r="D621" i="8"/>
  <c r="D775" i="8"/>
  <c r="D763" i="8"/>
  <c r="D774" i="8"/>
  <c r="D786" i="8"/>
  <c r="D808" i="8"/>
  <c r="D688" i="8"/>
  <c r="D760" i="8"/>
  <c r="D761" i="8"/>
  <c r="D729" i="8"/>
  <c r="D730" i="8"/>
  <c r="D716" i="8"/>
  <c r="D717" i="8"/>
  <c r="D722" i="8"/>
  <c r="D725" i="8"/>
  <c r="D370" i="8"/>
  <c r="D387" i="8"/>
  <c r="D685" i="8"/>
  <c r="D571" i="8"/>
  <c r="D601" i="8"/>
  <c r="D388" i="8"/>
  <c r="D588" i="8"/>
  <c r="D378" i="8"/>
  <c r="D664" i="8"/>
  <c r="D705" i="8"/>
  <c r="D692" i="8"/>
  <c r="D597" i="8"/>
  <c r="D661" i="8"/>
  <c r="D648" i="8"/>
  <c r="D610" i="8"/>
  <c r="D656" i="8"/>
  <c r="D612" i="8"/>
  <c r="D582" i="8"/>
  <c r="D639" i="8"/>
  <c r="D625" i="8"/>
  <c r="D550" i="8"/>
  <c r="D389" i="8"/>
  <c r="D611" i="8"/>
  <c r="D580" i="8"/>
  <c r="D356" i="8"/>
  <c r="D704" i="8"/>
  <c r="D574" i="8"/>
  <c r="D589" i="8"/>
  <c r="D713" i="8"/>
  <c r="D694" i="8"/>
  <c r="D603" i="8"/>
  <c r="D397" i="8"/>
  <c r="D693" i="8"/>
  <c r="D355" i="8"/>
  <c r="D567" i="8"/>
  <c r="D640" i="8"/>
  <c r="D703" i="8"/>
  <c r="D642" i="8"/>
  <c r="D399" i="8"/>
  <c r="D657" i="8"/>
  <c r="D633" i="8"/>
  <c r="D646" i="8"/>
  <c r="D643" i="8"/>
  <c r="D658" i="8"/>
  <c r="D665" i="8"/>
  <c r="D637" i="8"/>
  <c r="D379" i="8"/>
  <c r="D568" i="8"/>
  <c r="D653" i="8"/>
  <c r="D359" i="8"/>
  <c r="D647" i="8"/>
  <c r="D609" i="8"/>
  <c r="D595" i="8"/>
  <c r="D652" i="8"/>
  <c r="D641" i="8"/>
  <c r="D675" i="8"/>
  <c r="D654" i="8"/>
  <c r="D552" i="8"/>
  <c r="D364" i="8"/>
  <c r="D363" i="8"/>
  <c r="D710" i="8"/>
  <c r="D577" i="8"/>
  <c r="D585" i="8"/>
  <c r="D365" i="8"/>
  <c r="D391" i="8"/>
  <c r="D680" i="8"/>
  <c r="D594" i="8"/>
  <c r="D695" i="8"/>
  <c r="D396" i="8"/>
  <c r="D682" i="8"/>
  <c r="D362" i="8"/>
  <c r="D380" i="8"/>
  <c r="D676" i="8"/>
  <c r="D546" i="8"/>
  <c r="D686" i="8"/>
  <c r="D353" i="8"/>
  <c r="D650" i="8"/>
  <c r="D598" i="8"/>
  <c r="D678" i="8"/>
  <c r="D630" i="8"/>
  <c r="D666" i="8"/>
  <c r="D624" i="8"/>
  <c r="D381" i="8"/>
  <c r="D382" i="8"/>
  <c r="D587" i="8"/>
  <c r="D360" i="8"/>
  <c r="D662" i="8"/>
  <c r="D584" i="8"/>
  <c r="D386" i="8"/>
  <c r="D570" i="8"/>
  <c r="D701" i="8"/>
  <c r="D691" i="8"/>
  <c r="D608" i="8"/>
  <c r="D373" i="8"/>
  <c r="D398" i="8"/>
  <c r="D372" i="8"/>
  <c r="D384" i="8"/>
  <c r="D623" i="8"/>
  <c r="D681" i="8"/>
  <c r="D566" i="8"/>
  <c r="D383" i="8"/>
  <c r="D632" i="8"/>
  <c r="D392" i="8"/>
  <c r="D367" i="8"/>
  <c r="D554" i="8"/>
  <c r="D636" i="8"/>
  <c r="D618" i="8"/>
  <c r="D667" i="8"/>
  <c r="D668" i="8"/>
  <c r="D670" i="8"/>
  <c r="D575" i="8"/>
  <c r="D572" i="8"/>
  <c r="D606" i="8"/>
  <c r="D368" i="8"/>
  <c r="D548" i="8"/>
  <c r="D712" i="8"/>
  <c r="D583" i="8"/>
  <c r="D390" i="8"/>
  <c r="D394" i="8"/>
  <c r="D375" i="8"/>
  <c r="D617" i="8"/>
  <c r="D371" i="8"/>
  <c r="D669" i="8"/>
  <c r="D660" i="8"/>
  <c r="D366" i="8"/>
  <c r="D586" i="8"/>
  <c r="D592" i="8"/>
  <c r="D565" i="8"/>
  <c r="D620" i="8"/>
  <c r="D564" i="8"/>
  <c r="D614" i="8"/>
  <c r="D709" i="8"/>
  <c r="D627" i="8"/>
  <c r="D613" i="8"/>
  <c r="D634" i="8"/>
  <c r="D361" i="8"/>
  <c r="D393" i="8"/>
  <c r="D358" i="8"/>
  <c r="D644" i="8"/>
  <c r="D711" i="8"/>
  <c r="D357" i="8"/>
  <c r="D651" i="8"/>
  <c r="D395" i="8"/>
  <c r="D354" i="8"/>
  <c r="D674" i="8"/>
  <c r="D369" i="8"/>
  <c r="D581" i="8"/>
  <c r="D683" i="8"/>
  <c r="D578" i="8"/>
  <c r="D377" i="8"/>
  <c r="D593" i="8"/>
  <c r="D616" i="8"/>
  <c r="D559" i="8"/>
  <c r="D374" i="8"/>
  <c r="D385" i="8"/>
  <c r="D376" i="8"/>
  <c r="D590" i="8"/>
  <c r="D517" i="8"/>
  <c r="D526" i="8"/>
  <c r="D535" i="8"/>
  <c r="D532" i="8"/>
  <c r="D529" i="8"/>
  <c r="D522" i="8"/>
  <c r="D283" i="8"/>
  <c r="D527" i="8"/>
  <c r="D513" i="8"/>
  <c r="D516" i="8"/>
  <c r="D514" i="8"/>
  <c r="D285" i="8"/>
  <c r="D515" i="8"/>
  <c r="D531" i="8"/>
  <c r="D521" i="8"/>
  <c r="D524" i="8"/>
  <c r="D286" i="8"/>
  <c r="D530" i="8"/>
  <c r="D505" i="8"/>
  <c r="D284" i="8"/>
  <c r="D519" i="8"/>
  <c r="D534" i="8"/>
  <c r="D528" i="8"/>
  <c r="D518" i="8"/>
  <c r="D523" i="8"/>
  <c r="D533" i="8"/>
  <c r="D281" i="8"/>
  <c r="D280" i="8"/>
  <c r="D525" i="8"/>
  <c r="D287" i="8"/>
  <c r="D282" i="8"/>
  <c r="D520" i="8"/>
  <c r="D506" i="8"/>
  <c r="D718" i="8"/>
  <c r="D512" i="8"/>
  <c r="D449" i="8"/>
  <c r="D456" i="8"/>
  <c r="D460" i="8"/>
  <c r="D454" i="8"/>
  <c r="D446" i="8"/>
  <c r="D457" i="8"/>
  <c r="D461" i="8"/>
  <c r="D455" i="8"/>
  <c r="D453" i="8"/>
  <c r="D459" i="8"/>
  <c r="D444" i="8"/>
  <c r="D452" i="8"/>
  <c r="D445" i="8"/>
  <c r="D448" i="8"/>
  <c r="D226" i="8"/>
  <c r="D401" i="8"/>
  <c r="D414" i="8"/>
  <c r="D423" i="8"/>
  <c r="D412" i="8"/>
  <c r="D430" i="8"/>
  <c r="D415" i="8"/>
  <c r="D228" i="8"/>
  <c r="D227" i="8"/>
  <c r="D432" i="8"/>
  <c r="D21" i="8"/>
  <c r="D439" i="8"/>
  <c r="D438" i="8"/>
  <c r="D503" i="8"/>
  <c r="D323" i="8"/>
  <c r="D308" i="8"/>
  <c r="D306" i="8"/>
  <c r="D326" i="8"/>
  <c r="D312" i="8"/>
  <c r="D325" i="8"/>
  <c r="D302" i="8"/>
  <c r="D504" i="8"/>
  <c r="D297" i="8"/>
  <c r="D319" i="8"/>
  <c r="D299" i="8"/>
  <c r="D317" i="8"/>
  <c r="D334" i="8"/>
  <c r="D310" i="8"/>
  <c r="D315" i="8"/>
  <c r="D336" i="8"/>
  <c r="D330" i="8"/>
  <c r="D331" i="8"/>
  <c r="D780" i="8"/>
  <c r="D316" i="8"/>
  <c r="D329" i="8"/>
  <c r="D335" i="8"/>
  <c r="D328" i="8"/>
  <c r="D320" i="8"/>
  <c r="D296" i="8"/>
  <c r="D304" i="8"/>
  <c r="D303" i="8"/>
  <c r="D305" i="8"/>
  <c r="D311" i="8"/>
  <c r="D337" i="8"/>
  <c r="D307" i="8"/>
  <c r="D292" i="8"/>
  <c r="D70" i="8"/>
  <c r="D176" i="8"/>
  <c r="D89" i="8"/>
  <c r="D77" i="8"/>
  <c r="D39" i="8"/>
  <c r="D129" i="8"/>
  <c r="D131" i="8"/>
  <c r="D75" i="8"/>
  <c r="D53" i="8"/>
  <c r="D157" i="8"/>
  <c r="D576" i="8"/>
  <c r="D536" i="8"/>
  <c r="D556" i="8"/>
  <c r="D245" i="8"/>
  <c r="D273" i="8"/>
  <c r="D238" i="8"/>
  <c r="D244" i="8"/>
  <c r="D607" i="8"/>
  <c r="D151" i="8"/>
  <c r="D249" i="8"/>
  <c r="D419" i="8"/>
  <c r="D251" i="8"/>
  <c r="D276" i="8"/>
  <c r="D413" i="8"/>
  <c r="D626" i="8"/>
  <c r="D242" i="8"/>
  <c r="D258" i="8"/>
  <c r="D403" i="8"/>
  <c r="D404" i="8"/>
  <c r="D269" i="8"/>
  <c r="D424" i="8"/>
  <c r="D405" i="8"/>
  <c r="D407" i="8"/>
  <c r="D264" i="8"/>
  <c r="D425" i="8"/>
  <c r="D266" i="8"/>
  <c r="D253" i="8"/>
  <c r="D420" i="8"/>
  <c r="D271" i="8"/>
  <c r="D250" i="8"/>
  <c r="D411" i="8"/>
  <c r="D277" i="8"/>
  <c r="D38" i="8"/>
  <c r="D241" i="8"/>
  <c r="D429" i="8"/>
  <c r="D579" i="8"/>
  <c r="D252" i="8"/>
  <c r="D240" i="8"/>
  <c r="D406" i="8"/>
  <c r="D159" i="8"/>
  <c r="D182" i="8"/>
  <c r="D85" i="8"/>
  <c r="D166" i="8"/>
  <c r="D47" i="8"/>
  <c r="D181" i="8"/>
  <c r="D66" i="8"/>
  <c r="D130" i="8"/>
  <c r="D71" i="8"/>
  <c r="D133" i="8"/>
  <c r="D187" i="8"/>
  <c r="D45" i="8"/>
  <c r="D196" i="8"/>
  <c r="D98" i="8"/>
  <c r="D95" i="8"/>
  <c r="D79" i="8"/>
  <c r="D153" i="8"/>
  <c r="D91" i="8"/>
  <c r="D90" i="8"/>
  <c r="D198" i="8"/>
  <c r="D190" i="8"/>
  <c r="D177" i="8"/>
  <c r="D44" i="8"/>
  <c r="D40" i="8"/>
  <c r="D149" i="8"/>
  <c r="D86" i="8"/>
  <c r="D50" i="8"/>
  <c r="D314" i="8"/>
  <c r="D158" i="8"/>
  <c r="D144" i="8"/>
  <c r="D193" i="8"/>
  <c r="D83" i="8"/>
  <c r="D56" i="8"/>
  <c r="D107" i="8"/>
  <c r="D73" i="8"/>
  <c r="D185" i="8"/>
  <c r="D124" i="8"/>
  <c r="D147" i="8"/>
  <c r="D59" i="8"/>
  <c r="D92" i="8"/>
  <c r="D63" i="8"/>
  <c r="D112" i="8"/>
  <c r="D143" i="8"/>
  <c r="D88" i="8"/>
  <c r="D81" i="8"/>
  <c r="D76" i="8"/>
  <c r="D154" i="8"/>
  <c r="D80" i="8"/>
  <c r="D120" i="8"/>
  <c r="D148" i="8"/>
  <c r="D93" i="8"/>
  <c r="D167" i="8"/>
  <c r="D113" i="8"/>
  <c r="D192" i="8"/>
  <c r="D175" i="8"/>
  <c r="D62" i="8"/>
  <c r="D152" i="8"/>
  <c r="D108" i="8"/>
  <c r="D51" i="8"/>
  <c r="D100" i="8"/>
  <c r="D101" i="8"/>
  <c r="D35" i="8"/>
  <c r="D111" i="8"/>
  <c r="D65" i="8"/>
  <c r="D236" i="8"/>
  <c r="D234" i="8"/>
  <c r="D819" i="8"/>
  <c r="D821" i="8"/>
  <c r="D480" i="8"/>
  <c r="D493" i="8"/>
  <c r="D822" i="8"/>
  <c r="D478" i="8"/>
  <c r="D477" i="8"/>
  <c r="D484" i="8"/>
  <c r="D270" i="8"/>
  <c r="D219" i="8"/>
  <c r="D222" i="8"/>
  <c r="D482" i="8"/>
  <c r="D224" i="8"/>
  <c r="D490" i="8"/>
  <c r="D223" i="8"/>
  <c r="D492" i="8"/>
  <c r="D615" i="8"/>
  <c r="D221" i="8"/>
  <c r="D486" i="8"/>
  <c r="D220" i="8"/>
  <c r="D488" i="8"/>
  <c r="D485" i="8"/>
  <c r="D225" i="8"/>
  <c r="D487" i="8"/>
  <c r="D481" i="8"/>
  <c r="D479" i="8"/>
  <c r="D203" i="8"/>
  <c r="D204" i="8"/>
  <c r="D202" i="8"/>
  <c r="D205" i="8"/>
  <c r="D179" i="8"/>
  <c r="D163" i="8"/>
  <c r="D199" i="8"/>
  <c r="D106" i="8"/>
  <c r="D67" i="8"/>
  <c r="D41" i="8"/>
  <c r="D57" i="8"/>
  <c r="D58" i="8"/>
  <c r="D55" i="8"/>
  <c r="D140" i="8"/>
  <c r="D184" i="8"/>
  <c r="D134" i="8"/>
  <c r="D99" i="8"/>
  <c r="D195" i="8"/>
  <c r="D139" i="8"/>
  <c r="D146" i="8"/>
  <c r="D135" i="8"/>
  <c r="D150" i="8"/>
  <c r="D96" i="8"/>
  <c r="D161" i="8"/>
  <c r="D165" i="8"/>
  <c r="D188" i="8"/>
  <c r="D170" i="8"/>
  <c r="D141" i="8"/>
  <c r="D36" i="8"/>
  <c r="D178" i="8"/>
  <c r="D122" i="8"/>
  <c r="D87" i="8"/>
  <c r="D104" i="8"/>
  <c r="D102" i="8"/>
  <c r="D200" i="8"/>
  <c r="D183" i="8"/>
  <c r="D46" i="8"/>
  <c r="D60" i="8"/>
  <c r="D145" i="8"/>
  <c r="D121" i="8"/>
  <c r="D94" i="8"/>
  <c r="D156" i="8"/>
  <c r="D137" i="8"/>
  <c r="D138" i="8"/>
  <c r="D142" i="8"/>
  <c r="D132" i="8"/>
  <c r="D201" i="8"/>
  <c r="D43" i="8"/>
  <c r="D164" i="8"/>
  <c r="D48" i="8"/>
  <c r="D61" i="8"/>
  <c r="D74" i="8"/>
  <c r="D69" i="8"/>
  <c r="D84" i="8"/>
  <c r="D126" i="8"/>
  <c r="D173" i="8"/>
  <c r="D186" i="8"/>
  <c r="D119" i="8"/>
  <c r="D64" i="8"/>
  <c r="D72" i="8"/>
  <c r="D52" i="8"/>
  <c r="D169" i="8"/>
  <c r="D97" i="8"/>
  <c r="D78" i="8"/>
  <c r="D105" i="8"/>
</calcChain>
</file>

<file path=xl/sharedStrings.xml><?xml version="1.0" encoding="utf-8"?>
<sst xmlns="http://schemas.openxmlformats.org/spreadsheetml/2006/main" count="5662" uniqueCount="1746">
  <si>
    <t>Weinberg</t>
  </si>
  <si>
    <t>Brown</t>
  </si>
  <si>
    <t>Cohen</t>
  </si>
  <si>
    <t>ISBN</t>
  </si>
  <si>
    <t>Palgrave Macmillan</t>
  </si>
  <si>
    <t>Grandis</t>
  </si>
  <si>
    <t>Health Psychology</t>
  </si>
  <si>
    <t>Griffiths A.</t>
  </si>
  <si>
    <t>Introduction to Genetic Analysis</t>
  </si>
  <si>
    <t>Nelson</t>
  </si>
  <si>
    <t>Moore J.</t>
  </si>
  <si>
    <t>Dale Purves</t>
  </si>
  <si>
    <t>Purves D.</t>
  </si>
  <si>
    <t>Principles of Cognitive Neuroscience</t>
  </si>
  <si>
    <t>Sinauer</t>
  </si>
  <si>
    <t>Psychology</t>
  </si>
  <si>
    <t>Schacter</t>
  </si>
  <si>
    <t>Myers D.G.</t>
  </si>
  <si>
    <t>Griggs R.</t>
  </si>
  <si>
    <t>Sport and Society in the Global Age</t>
  </si>
  <si>
    <t>William Hanson</t>
  </si>
  <si>
    <t>The Edge of Medicine</t>
  </si>
  <si>
    <t>The Psychology of Nursing Care</t>
  </si>
  <si>
    <t>Information Technology Project Management</t>
  </si>
  <si>
    <t>Pierce</t>
  </si>
  <si>
    <t>Genetics: A Conceptual Approach</t>
  </si>
  <si>
    <t>Millie Taylor,Dominic Symonds</t>
  </si>
  <si>
    <t>Studying Musical Theatre: Theory and Practice</t>
  </si>
  <si>
    <t>Ecology</t>
  </si>
  <si>
    <t>Worth Publishers</t>
  </si>
  <si>
    <t>Rosen L.</t>
  </si>
  <si>
    <t>X-Ray Crystallography</t>
  </si>
  <si>
    <t>Bhambra</t>
  </si>
  <si>
    <t>Michael Alexander</t>
  </si>
  <si>
    <t>A History of English Literature</t>
  </si>
  <si>
    <t>Crocker G.</t>
  </si>
  <si>
    <t>A Managerial Philosophy of Technology</t>
  </si>
  <si>
    <t>A Short History of Scientific Thought</t>
  </si>
  <si>
    <t>Advanced Engineering Mathematics</t>
  </si>
  <si>
    <t>Woods</t>
  </si>
  <si>
    <t>Americans and the Wars of the Twentieth Century</t>
  </si>
  <si>
    <t>Hood</t>
  </si>
  <si>
    <t>Deirdre Heddon</t>
  </si>
  <si>
    <t>Becoming an Academic</t>
  </si>
  <si>
    <t>Being Sociological</t>
  </si>
  <si>
    <t>Minehan</t>
  </si>
  <si>
    <t>Comparative Health Policy</t>
  </si>
  <si>
    <t>Robin T. Pettitt</t>
  </si>
  <si>
    <t>Contemporary Party Politics</t>
  </si>
  <si>
    <t>Craig A. Snyder</t>
  </si>
  <si>
    <t>Snyder C.A.</t>
  </si>
  <si>
    <t>Ewan McKendrick</t>
  </si>
  <si>
    <t>Contract Law</t>
  </si>
  <si>
    <t>Margaret Dowie-Whybrow</t>
  </si>
  <si>
    <t>Core Statutes on Intellectual Property</t>
  </si>
  <si>
    <t>Burns P.</t>
  </si>
  <si>
    <t>Corporate Entrepreneurship</t>
  </si>
  <si>
    <t>Crime, Justice and Human Rights</t>
  </si>
  <si>
    <t>Jonathan Herring</t>
  </si>
  <si>
    <t>Criminal Law</t>
  </si>
  <si>
    <t>Ayittey</t>
  </si>
  <si>
    <t>Defeating Dictators: Fighting Tyranny in Africa and Around the World</t>
  </si>
  <si>
    <t>Basturkmen</t>
  </si>
  <si>
    <t>Doing Ethical Research</t>
  </si>
  <si>
    <t>Engineering Mathematics</t>
  </si>
  <si>
    <t>Engineering Mathematics Through Applications</t>
  </si>
  <si>
    <t>Aarts Bas</t>
  </si>
  <si>
    <t>English Syntax and Argumentation</t>
  </si>
  <si>
    <t>Paul Burns</t>
  </si>
  <si>
    <t>Reynolds</t>
  </si>
  <si>
    <t>Tim Bilham</t>
  </si>
  <si>
    <t>Foundation Mathematics</t>
  </si>
  <si>
    <t>Larsson</t>
  </si>
  <si>
    <t>Fernando De Maio</t>
  </si>
  <si>
    <t>Global Sociology</t>
  </si>
  <si>
    <t>Gregory M. Colón Semenza</t>
  </si>
  <si>
    <t>Graduate Study for the Twenty-First Century</t>
  </si>
  <si>
    <t>Aidan Hehir</t>
  </si>
  <si>
    <t>iDisorder</t>
  </si>
  <si>
    <t>Toni Weller</t>
  </si>
  <si>
    <t>Heath</t>
  </si>
  <si>
    <t>Gosseries</t>
  </si>
  <si>
    <t>Greenwood J.</t>
  </si>
  <si>
    <t>Allegrezza</t>
  </si>
  <si>
    <t>Mark Beeson</t>
  </si>
  <si>
    <t>Issues in 21st Century World Politics</t>
  </si>
  <si>
    <t>Key Concepts in Human Resource Management</t>
  </si>
  <si>
    <t>Key Concepts in International Business</t>
  </si>
  <si>
    <t>Ian McLeod</t>
  </si>
  <si>
    <t>Key Concepts in Law</t>
  </si>
  <si>
    <t>Key Concepts in Leisure</t>
  </si>
  <si>
    <t>Key Concepts in Strategic Management</t>
  </si>
  <si>
    <t>Literary Terms and Criticism</t>
  </si>
  <si>
    <t>Achilles</t>
  </si>
  <si>
    <t>Devin</t>
  </si>
  <si>
    <t>Sharon A. Cox</t>
  </si>
  <si>
    <t>Lambin J. J.</t>
  </si>
  <si>
    <t>Market-Driven Management: Strategic and Operational Marketing</t>
  </si>
  <si>
    <t>Mastering Practical Grammar</t>
  </si>
  <si>
    <t>Watson J.</t>
  </si>
  <si>
    <t>Media Communication</t>
  </si>
  <si>
    <t>Lester H.</t>
  </si>
  <si>
    <t>Bueno</t>
  </si>
  <si>
    <t>Peter Shankman</t>
  </si>
  <si>
    <t>Kevin McDonald</t>
  </si>
  <si>
    <t>Alder J.</t>
  </si>
  <si>
    <t>Jim Breithaupt</t>
  </si>
  <si>
    <t>Place, Identity and Everyday Life in a Globalizing World</t>
  </si>
  <si>
    <t>Policies and Policy Processes of the European Union</t>
  </si>
  <si>
    <t>Kriesi</t>
  </si>
  <si>
    <t>Himann A.</t>
  </si>
  <si>
    <t>Political Hystories</t>
  </si>
  <si>
    <t>Postmodern Narrative Theory</t>
  </si>
  <si>
    <t>Principles of Professional Studies in Nursing</t>
  </si>
  <si>
    <t>Morton Meyers, MD</t>
  </si>
  <si>
    <t>Prize Fight</t>
  </si>
  <si>
    <t>Marsen S.</t>
  </si>
  <si>
    <t>Professional Writing</t>
  </si>
  <si>
    <t>Risk and Nursing Practice</t>
  </si>
  <si>
    <t>Jolyon Howorth</t>
  </si>
  <si>
    <t>Security and Defence Policy in the European Union</t>
  </si>
  <si>
    <t>Payne G.</t>
  </si>
  <si>
    <t>Social Divisions</t>
  </si>
  <si>
    <t>Cristina Flesher Fominaya</t>
  </si>
  <si>
    <t>Social Psychology</t>
  </si>
  <si>
    <t>Roger Gomm</t>
  </si>
  <si>
    <t>Social Research Methodology</t>
  </si>
  <si>
    <t>Pickles</t>
  </si>
  <si>
    <t>Herold E.</t>
  </si>
  <si>
    <t>Studying the English Language</t>
  </si>
  <si>
    <t>Watson</t>
  </si>
  <si>
    <t>Successful Statistics for Nursing and Healthcare</t>
  </si>
  <si>
    <t>Richard Martin</t>
  </si>
  <si>
    <t>SuperFuel</t>
  </si>
  <si>
    <t>James Haywood Rolling</t>
  </si>
  <si>
    <t>Blass</t>
  </si>
  <si>
    <t>Terrorism: A Critical Introduction</t>
  </si>
  <si>
    <t>McGannon</t>
  </si>
  <si>
    <t>Hill Ch.</t>
  </si>
  <si>
    <t>The Changing Politics of Foreign Policy</t>
  </si>
  <si>
    <t>William T. Martin Riches</t>
  </si>
  <si>
    <t>Philip G. Altbach</t>
  </si>
  <si>
    <t>The Decline of the Guru</t>
  </si>
  <si>
    <t>The English Language and Linguistics Companion</t>
  </si>
  <si>
    <t>Webel</t>
  </si>
  <si>
    <t>Ginsberg</t>
  </si>
  <si>
    <t>Read</t>
  </si>
  <si>
    <t>Keukeleire S.</t>
  </si>
  <si>
    <t>The Foreign Policy of the European Union</t>
  </si>
  <si>
    <t>Ballard K.</t>
  </si>
  <si>
    <t>The Frameworks of English</t>
  </si>
  <si>
    <t>Meyer</t>
  </si>
  <si>
    <t>Porter M.</t>
  </si>
  <si>
    <t>The Global Competitiveness Report 2007-2008</t>
  </si>
  <si>
    <t>Frank McDonough</t>
  </si>
  <si>
    <t>The Holocaust</t>
  </si>
  <si>
    <t>Jean Rose</t>
  </si>
  <si>
    <t>The Mature Student's Guide to Writing</t>
  </si>
  <si>
    <t>Nigel Hollis</t>
  </si>
  <si>
    <t>The Meaningful Brand</t>
  </si>
  <si>
    <t>The Media at War</t>
  </si>
  <si>
    <t>Oxley</t>
  </si>
  <si>
    <t>The Origins of the Cold War</t>
  </si>
  <si>
    <t>Iriye</t>
  </si>
  <si>
    <t>Berridge</t>
  </si>
  <si>
    <t>Kamusella</t>
  </si>
  <si>
    <t>O'Brien</t>
  </si>
  <si>
    <t>Furnham</t>
  </si>
  <si>
    <t>The Talented Manager</t>
  </si>
  <si>
    <t>The University in the Global Age</t>
  </si>
  <si>
    <t>Toby Murcott</t>
  </si>
  <si>
    <t>The Whole Story</t>
  </si>
  <si>
    <t>Jeremy Rifkin</t>
  </si>
  <si>
    <t>The Zero Marginal Cost Society</t>
  </si>
  <si>
    <t>Umut Ozkirimli</t>
  </si>
  <si>
    <t>Theories of Nationalism: A Critical Introduction</t>
  </si>
  <si>
    <t>Charlie Webb</t>
  </si>
  <si>
    <t>Trusts Law</t>
  </si>
  <si>
    <t>McCarter</t>
  </si>
  <si>
    <t>Understanding Hydraulics</t>
  </si>
  <si>
    <t>Marranci</t>
  </si>
  <si>
    <t>John McCormick</t>
  </si>
  <si>
    <t>Working with Fathers</t>
  </si>
  <si>
    <t>Writing in the Disciplines</t>
  </si>
  <si>
    <t>Smith</t>
  </si>
  <si>
    <t>Weber</t>
  </si>
  <si>
    <t>Organic Chemistry</t>
  </si>
  <si>
    <t>Greenberg M.</t>
  </si>
  <si>
    <t>Calculus</t>
  </si>
  <si>
    <t>Peter Atkins</t>
  </si>
  <si>
    <t>Biology</t>
  </si>
  <si>
    <t>Environmental Science</t>
  </si>
  <si>
    <t>Rosenzweig M. R.</t>
  </si>
  <si>
    <t>Root K.</t>
  </si>
  <si>
    <t>W.H. Freeman</t>
  </si>
  <si>
    <t>Richard B. Primack</t>
  </si>
  <si>
    <t>Essentials of Conservation Biology</t>
  </si>
  <si>
    <t>Sadava</t>
  </si>
  <si>
    <t>Life: The Science of Biology, Volume 1</t>
  </si>
  <si>
    <t>Edward Abbey</t>
  </si>
  <si>
    <t>The Fool's Progress</t>
  </si>
  <si>
    <t>Transformations: Approaches to College Science Teaching</t>
  </si>
  <si>
    <t>Scott F. Gilbert</t>
  </si>
  <si>
    <t>Developmental Biology</t>
  </si>
  <si>
    <t>W.H.Freeman</t>
  </si>
  <si>
    <t>Discrete Mathematics for Computing</t>
  </si>
  <si>
    <t>Susan M. Galatowitsch</t>
  </si>
  <si>
    <t>Ecological Restoration</t>
  </si>
  <si>
    <t>Assmann</t>
  </si>
  <si>
    <t>Principles of Biochemistry</t>
  </si>
  <si>
    <t>Sedimentary Geology</t>
  </si>
  <si>
    <t>Keith Robbins</t>
  </si>
  <si>
    <t>Foxman A.</t>
  </si>
  <si>
    <t>Viral Hate</t>
  </si>
  <si>
    <t>Sassatelli</t>
  </si>
  <si>
    <t>Sarah E.H. Moore</t>
  </si>
  <si>
    <t>Crime and the Media</t>
  </si>
  <si>
    <t>Pieterse</t>
  </si>
  <si>
    <t>Kinsbury D.</t>
  </si>
  <si>
    <t>International Development</t>
  </si>
  <si>
    <t>Anthony Davis</t>
  </si>
  <si>
    <t>Mastering Public Relations</t>
  </si>
  <si>
    <t>Colin Hay</t>
  </si>
  <si>
    <t>Hayes</t>
  </si>
  <si>
    <t>Planning Your Dissertation</t>
  </si>
  <si>
    <t>Charteris-Black</t>
  </si>
  <si>
    <t>Rethinking International Relations Theory</t>
  </si>
  <si>
    <t>Social Work with Children</t>
  </si>
  <si>
    <t>Stephen Cushion</t>
  </si>
  <si>
    <t>MacNaughtan J.</t>
  </si>
  <si>
    <t>The Politics Companion</t>
  </si>
  <si>
    <t>Lewis P.</t>
  </si>
  <si>
    <t>The Secret World of Sleep</t>
  </si>
  <si>
    <t>Ryde</t>
  </si>
  <si>
    <t>Beach</t>
  </si>
  <si>
    <t>Analyzing Foreign Policy</t>
  </si>
  <si>
    <t>Asteriou D.</t>
  </si>
  <si>
    <t>Applied Econometrics</t>
  </si>
  <si>
    <t>Communicating Politics in the Twenty-First Century</t>
  </si>
  <si>
    <t>Carter</t>
  </si>
  <si>
    <t>Edwin Bacon</t>
  </si>
  <si>
    <t>Contemporary Russia</t>
  </si>
  <si>
    <t>Dellacioppa</t>
  </si>
  <si>
    <t>Mulcahy</t>
  </si>
  <si>
    <t>International Organisation in World Politics</t>
  </si>
  <si>
    <t>Michael E. Smith</t>
  </si>
  <si>
    <t>International Security: Politics, Policy, Prospects</t>
  </si>
  <si>
    <t>Kaya</t>
  </si>
  <si>
    <t>Mastering Communication</t>
  </si>
  <si>
    <t>Phinnemore</t>
  </si>
  <si>
    <t>Klein J.</t>
  </si>
  <si>
    <t>Piscione D.</t>
  </si>
  <si>
    <t>Secrets of Silicon Valley</t>
  </si>
  <si>
    <t>Gormley-Heenan</t>
  </si>
  <si>
    <t>Oates</t>
  </si>
  <si>
    <t>Zhavoronkov A.</t>
  </si>
  <si>
    <t>The Ageless Generation</t>
  </si>
  <si>
    <t>Kröger</t>
  </si>
  <si>
    <t>Ross</t>
  </si>
  <si>
    <t>McCormick J.</t>
  </si>
  <si>
    <t>Berg</t>
  </si>
  <si>
    <t>James M. Postma</t>
  </si>
  <si>
    <t>Chemistry in the Laboratory</t>
  </si>
  <si>
    <t>Jerry R. Mohrig</t>
  </si>
  <si>
    <t>Modern Projects and Experiments in Organic Chemistry</t>
  </si>
  <si>
    <t>Practical Strategies for Technical Communication</t>
  </si>
  <si>
    <t>Palandoken H.</t>
  </si>
  <si>
    <t>Problems in Organic Synthesis</t>
  </si>
  <si>
    <t>Student's Solutions Manual for Chemical Principles</t>
  </si>
  <si>
    <t>Study Guide for Chemical Principles</t>
  </si>
  <si>
    <t>Lawrence Freedman</t>
  </si>
  <si>
    <t>The Evolution of Nuclear Strategy</t>
  </si>
  <si>
    <t>GBP</t>
  </si>
  <si>
    <t>Paperback</t>
  </si>
  <si>
    <t>Hardback</t>
  </si>
  <si>
    <t>EUR</t>
  </si>
  <si>
    <t>The European Council</t>
  </si>
  <si>
    <t>Physics</t>
  </si>
  <si>
    <t>Lees-Marshment</t>
  </si>
  <si>
    <t>Kate Williams</t>
  </si>
  <si>
    <t>Aczel</t>
  </si>
  <si>
    <t>Uranium Wars</t>
  </si>
  <si>
    <t>Green</t>
  </si>
  <si>
    <t>Quill</t>
  </si>
  <si>
    <t>Carvalho</t>
  </si>
  <si>
    <t>Geppert</t>
  </si>
  <si>
    <t>Acuto</t>
  </si>
  <si>
    <t>Talani</t>
  </si>
  <si>
    <t>de Bruin</t>
  </si>
  <si>
    <t>Neil Thompson</t>
  </si>
  <si>
    <t>Understanding Social Work</t>
  </si>
  <si>
    <t>Berger K.</t>
  </si>
  <si>
    <t>The Developing Person Through the Life Span</t>
  </si>
  <si>
    <t>Denise Guinn</t>
  </si>
  <si>
    <t>Principles of Paleontology</t>
  </si>
  <si>
    <t>Chemical Principles</t>
  </si>
  <si>
    <t>Ricklefs R.</t>
  </si>
  <si>
    <t>Economy of Nature: Data Analysis Update</t>
  </si>
  <si>
    <t>Reedy P.</t>
  </si>
  <si>
    <t>Lab Experiments in Introductory Chemistry</t>
  </si>
  <si>
    <t>Starnes</t>
  </si>
  <si>
    <t>The Practice of Statistics</t>
  </si>
  <si>
    <t>Baird C.</t>
  </si>
  <si>
    <t>Environmental Chemistry</t>
  </si>
  <si>
    <t>Eucledian and Non-Eucledian Geometries</t>
  </si>
  <si>
    <t>William J. Kaufmann</t>
  </si>
  <si>
    <t>Universe</t>
  </si>
  <si>
    <t>Moore  D.</t>
  </si>
  <si>
    <t>Introduction to the Practice of Statistics</t>
  </si>
  <si>
    <t>Moore D. S.</t>
  </si>
  <si>
    <t>The Basic Practice of Statistics</t>
  </si>
  <si>
    <t>Krenos</t>
  </si>
  <si>
    <t>Chemical Principles, Study Guide/Solution Manual for Chemical Principles</t>
  </si>
  <si>
    <t>Roger A. Freedman</t>
  </si>
  <si>
    <t>Sadava D.</t>
  </si>
  <si>
    <t>Life: The Science of Biology, Volume 3</t>
  </si>
  <si>
    <t>Life: The Science of Biology, Volume 2</t>
  </si>
  <si>
    <t>Modern Physical Organic Chemistry</t>
  </si>
  <si>
    <t>Modern Molecular Photochemistry of Organic Molecules</t>
  </si>
  <si>
    <t>Otte M.</t>
  </si>
  <si>
    <t>Robert E. Ricklefs</t>
  </si>
  <si>
    <t>Stanley Chernicoff</t>
  </si>
  <si>
    <t>Essentials of Geology</t>
  </si>
  <si>
    <t>Practical Computing for Biologists</t>
  </si>
  <si>
    <t>Jules R. Benjamin</t>
  </si>
  <si>
    <t>A Student's Guide to History</t>
  </si>
  <si>
    <t>Feenstra R.C.</t>
  </si>
  <si>
    <t>International Economics</t>
  </si>
  <si>
    <t>Transition Metals in the Synthesis of Complex Organic Molecules</t>
  </si>
  <si>
    <t>Goldsmith D.</t>
  </si>
  <si>
    <t>Worlds Unnumbered the Seach fo Extrasolar Plantes</t>
  </si>
  <si>
    <t>Univestiy Science Books</t>
  </si>
  <si>
    <t>The Body in Health and Social Care</t>
  </si>
  <si>
    <t>Karin Knisely</t>
  </si>
  <si>
    <t>A Student Handbook for Writing in Biology</t>
  </si>
  <si>
    <t>Dent</t>
  </si>
  <si>
    <t>Lehninger A.</t>
  </si>
  <si>
    <t>Theories of the State: The Politics of Liberal Democracy</t>
  </si>
  <si>
    <t>Patrick Dunleavy,Brendan O'Leary</t>
  </si>
  <si>
    <t>A major introductory textbook for students of politics, sociology and public administration on theories of the state and of politics. The five core chapters each introduce a major school of thought providing a substantial analysis of the methodology and philosophy, as well as the main objections and criticisms to which each has given rise. The theories and examples are drawn from a wide range of industrial societies.</t>
  </si>
  <si>
    <t>Jenel Virden</t>
  </si>
  <si>
    <t>Jenel Virden outlines the causes, courses and consequences of the major wars of the Twentieth century in American history, examining how the US became involved; how the wars were fought; and the domestic consequences. Applying 'just war theory', foreign policy as well as civil liberty are discussed.</t>
  </si>
  <si>
    <t>K.A. Stroud,Dexter J. Booth</t>
  </si>
  <si>
    <t>Key features* A unique technique-oriented approach takes the student through the mathematics in a highly accessible way* Comprehensive coverage of all topics required by undergraduates at advanced levels of mathematics in engineering and science* Hundreds of worked examples and progressively more challenging exercises* Ideal either as part of a course or for self-study</t>
  </si>
  <si>
    <t>Kuldeep Singh</t>
  </si>
  <si>
    <t>This text teaches maths in a step-by-step fashion – ideal for students on first-year engineering and pre-degree courses.- Hundreds of examples and exercises, the majority set in an applied engineering context so that you immediately see the purpose of what you are learning- Introductory chapter revises indices, fractions, decimals, percentages and ratios- Fully worked solutions to every problem on the companion website at www.palgrave.com/engineering/singh plus searchable glossary, e-index, extra exercises, extra content and more!</t>
  </si>
  <si>
    <t>Biography and History</t>
  </si>
  <si>
    <t>Barbara Caine</t>
  </si>
  <si>
    <t>Biography is the oldest way of writing about historical events, and one of the most popular. Looking at the complex relationship between the discipline of history and the writing of lives, Biography and History:• is the first work to explore the significant place of biography within historical writing at the present time• combines a discussion of the history of biography with an extended analysis of contemporary approaches to biography• links developments within history to the wider interest in auto/biography and life-writing, and to literary methods• suggests that there are some distinctive features in the ways in which historians handle biography.Original and insightful, this is an essential introduction to a growing, and increasingly important, field of study and research.</t>
  </si>
  <si>
    <t>Planning Your PhD</t>
  </si>
  <si>
    <t>Kate Williams,Emily Bethell,Judith Lawton,Clare Parfitt-Brown,Mary Richardson,Victoria Rowe</t>
  </si>
  <si>
    <t>A compact book offering students specific, succinct guidance to the core process and major hurdles involved in undertaking a PhD. As well as offering practical advice, such as how to shape initial ideas, the book also encourages students to find and value their own pathways and approaches within academia.</t>
  </si>
  <si>
    <t>Based on the bestselling Engineering Mathematics - over half a million copies sold! Are you entering higher education and needing to improve your mathematics? This complete entry level book from leading authors will give you the confidence to succeed.   - Suitable for self-study, and for students on all foundation mathematics courses - Contains everything you need to know to pass your exams - The unique and much-praised approach leads you through the mathematics, encouraging you to take an active part in the learning process - Contains a wealth of worked examples and exercises so you can practice and learn with confidence    K.A. Stroud was Principal Lecturer in the Department of Mathematics at coventry University, UK. He is also the author of Engineering Mathematics and Advanced Engineering Mathematics, companion volumes to this text.   Dexter J.Booth was Principal Lecturer in the School of Computing and Engineering at the University of Huddersfirld, UK. He is the author of several mathematics textbooks and is co-author of Engineering Mathematics and Advanced Engineering Mathematics.   </t>
  </si>
  <si>
    <t>Transport Economics: Theory, Application and Policy</t>
  </si>
  <si>
    <t>Graham Mallard,Stephen Glaister</t>
  </si>
  <si>
    <t>This examination of transport economics brings alive economic theories for students, elucidating traditional concepts by applying them to a real world context. It examines the microeconomic concepts that underpin this sector and the implications for transport markets with real examples from across the EU.  Also available is a companion website with extra features to accompany the text, please take a look by clicking below -  http://www.palgrave.com/economics/transport/Home.aspx</t>
  </si>
  <si>
    <t>Technology and Social Power</t>
  </si>
  <si>
    <t>Graeme Kirkpatrick</t>
  </si>
  <si>
    <t>Technology permeates almost every dimension of our lives. But who controls technological development? Can technology cause social inequality? And how will technology continue to affect lives in the digital era? Technology and Social Power provides a fresh examination of the role of technology in our society. Bringing together critical, classical and contemporary social theories, it fully examines everything you need to know about the sociology of technology. From the invention of the modern toothbrush to the design of Google, the book uses relevant examples to give useful insights into the social dimension of everyday technology. With clear definitions of key terms alongside a well-balanced approach to the most important empirical and theoretical work in the field, this book provides a clear and thorough account of the subject. Making complex ideas accessible, it is invaluable reading for all students seeking to understand the role of technology in our society today, and its likely impact in the future.</t>
  </si>
  <si>
    <t>Understanding Human Development: Biological, Social and Psychological Processes from Conception to Adult Life</t>
  </si>
  <si>
    <t>Stephanie Thornton</t>
  </si>
  <si>
    <t>How does a fertilized egg become a person? How do the processes which shape the common features of human development also produce the rich variety of individual diversity? Understanding Human Development explores these questions in a lively and wide-ranging survey of the subject, offering both a topical and a chronological view of development.   The author critically reviews research on human development from the earliest studies to the theories and issues of the 21st century, including recent breakthroughs in neuropsychology, cross-cultural psychology and in the application of dynamic systems theory. Coverage of methodology and ethics combined with thorough revision summaries in each chapter make this an invaluable introduction for students of developmental psychology.</t>
  </si>
  <si>
    <t>Robert Leach</t>
  </si>
  <si>
    <t>An extremely accessible student companion covering all the main aspects of political science from the nature of the disciplines and main components of courses to study skills, key terms and concepts; the main theoretical approaches and key thinkers and research studies. Reflecting the increasing internationalism of courses and study, the book is truly international in scope and will be the ideal complement for students around the world to Palgrave Macmillan's highly successful range of course texts.</t>
  </si>
  <si>
    <t>The Transformation of Political Communication: Continuities and Changes in Media and Politics</t>
  </si>
  <si>
    <t>Ralph Negrine</t>
  </si>
  <si>
    <t xml:space="preserve">The relationship between politics and the media is continually evolving. This book explores the technological, political and social forces that affect the practice of political communication throughout the world today. Offering a critical, historical approach, this book is for all students interested in the communication of politics. </t>
  </si>
  <si>
    <t>Foundations of Sociology: Towards a Better Understanding of the Human World</t>
  </si>
  <si>
    <t>Richard Jenkins</t>
  </si>
  <si>
    <t>This book argues that the foundations of sociology - key concepts which are necessary to all sociology, from whatever perspective - have become taken-for-granted and require re-assessment. Focusing on society, culture, the individual, and collectivity, the author builds a powerful case for an overhaul of these basic concepts, offering a unified model of the subject matter of sociology as 'the human world' - understood as individual, interactional and institutional orders - which is part of the 'natural world'. Written in a straightforward and accessible style, this is a powerful restatement of the value of sociological sense as a necessary critique of common sense, and its relevance to an audience far beyond academia.</t>
  </si>
  <si>
    <t>Paul Godin</t>
  </si>
  <si>
    <t>Risk and Nursing Practice introduces the reader to a range of sociological theory that has arisen about the 'risk society'. Theories about risk and society are specifically related to aspects of health care and nursing practice that have become highly thematic, such as violence against nurses, techniques of risk assessment and risk management.</t>
  </si>
  <si>
    <t>Globalization and the Nation State: 2nd Edition</t>
  </si>
  <si>
    <t>Robert J. Holton</t>
  </si>
  <si>
    <t>Does globalization mean the end of the nation state? Or are nation states able to respond to processes of global change? This impressively comprehensive book examines the connections and conflicts that exist between global and national processes, institutions and cultures.Debating and explaining controversial and contested understandings of globalization, the second edition has new content on:• hot and timely topics, from human rights and migration to new technologies and environmental sustainability• connections between globalization and global events, including the rise of China, the financial crisis and 9/11• interdisciplinary insights from sociology, political science and economicsThought-provoking and easy to follow, this text will give students across the social sciences a thorough understanding of the history, theories and debates of globalization.</t>
  </si>
  <si>
    <t>Politics &amp; Power</t>
  </si>
  <si>
    <t>Warren Kidd,Karen Legge,Philippe Harari</t>
  </si>
  <si>
    <t>Political organizations govern the way we live and have the power to make decisions on behalf of entire societies. But what political issues are important to our study of sociology and why? Do we really need to understand politics in order to fully understand society? And can individuals in society affect political change?This student-focused book gives readers a clear introduction to the key ideas, themes and debates in political sociology. Combining accessible explanations with critical analysis, the book explores the ideas of classical and contemporary sociologists. It maps out how they have been developed, reinterpreted and evaluated in response to changes in society. In particular, the text also: • defines, explores and assesses what is meant by 'power'• assesses the modern political landscape of UK society and the ideologies of different political parties• looks at voting patterns in the UK and asks what this tells us about society• explores issues of globalization and nationalization and how they have shaped modern-day societiesAs part of the Skills-Based Sociology series, Politics and Power is filled with a variety of tasks, activities and exam practice questions that encourage students to take an active role in their learning. Promoting critical thinking skills alongside development of knowledge, this book is the perfect starting-point for students learning about power and politics in society.</t>
  </si>
  <si>
    <t>This widely-used and acclaimed text provides a comprehensive and balanced introduction to the main theoretical perspectives on nationalism. The fully-updated 2nd edition includes expanded coverage of recent theories and debates, more systematic critical assesment of all traditions, and boxes on key thinkers.</t>
  </si>
  <si>
    <t>The Government and Politics of the European Union: Seventh Edition</t>
  </si>
  <si>
    <t>Neill Nugent</t>
  </si>
  <si>
    <t>A systematically updated and entirely redesigned new edition of the leading text on the European Union.  The seventh edition is packed with new features, accompanied by an all-new companion website and includes new chapters on member state relations and interest representation.</t>
  </si>
  <si>
    <t>Nationalism in the Twenty-First Century: Challenges and Responses</t>
  </si>
  <si>
    <t>Claire Sutherland</t>
  </si>
  <si>
    <t>This major new text assesses the persistence of nationalism in a globalizing world and analyses the current nature and future prospects of this multi-faceted and evolving ideology.</t>
  </si>
  <si>
    <t>Understanding Policy Success: Rethinking Public Policy</t>
  </si>
  <si>
    <t>Allan McConnell</t>
  </si>
  <si>
    <t>Success and failure are key to any consideration of public policy but there have been remarkably few attempts to assess systematically the various dimensions and complex nature of policy success. This important new text fills the gap by developing a systematic framework and offering an entirely new way of introducing students to policy analysis.</t>
  </si>
  <si>
    <t>Applying Political Theory: Issues and Debates</t>
  </si>
  <si>
    <t>Katherine Smits</t>
  </si>
  <si>
    <t>How can political theory help us understand and solve the political questions of our time? This introduction to political theory illuminates its relevance and applicability and clarifies what is at stake in debates over welfare; terrorism and civil liberties; minority rights; abortion and euthanasia; freedom of speech and a range of other issues.</t>
  </si>
  <si>
    <t>Karen Sanders</t>
  </si>
  <si>
    <t>From propaganda to protests, this book provides an in depth study of politics and the media today. Using historical and contemporary examples, Sanders covers the essential theory and key research in the field. Topical and comprehensive, this book covers everything students need to know about the global world of political communication.</t>
  </si>
  <si>
    <t>Structuring Your Research Thesis</t>
  </si>
  <si>
    <t>Susan Carter,Frances Kelly,Ian Brailsford</t>
  </si>
  <si>
    <t>Based on the experience of students worldwide, this book offers practical advice to research students struggling with the complexities of structuring their arts, humanities or social science thesis. Real-life case studies vividly introduce a number of alternative approaches, providing students with new ideas for structuring their work.</t>
  </si>
  <si>
    <t>Technology Management: Activities and Tools</t>
  </si>
  <si>
    <t>Dilek Cetindamar,Rob Phaal,David Probert</t>
  </si>
  <si>
    <t>Technology is a fundamental part of every organisation: when managed correctly it can deliver a decisive advantage over competitors.Technology Management takes a practical approach to developing operational efficiency and productivity. This accessible handbook provides a wealth of examples, tools and activities designed to increase the dynamic capability of an organisation. There is no single best way to manage technology in a company: but there are lessons that can be learned from other companies via case studies, and theoretical frameworks to guide you towards successful analysis and implementation.Key Features:• Excellent case study support and well developed pedagogy• A practical, operationally-focused Technology Management textbook• An expert author team clarifies the distinction between Technology Management and Innovation• International approachTechnology Management is ideal for students on a variety of Business, Management and Engineering degree courses.</t>
  </si>
  <si>
    <t>The Professional Doctorate: A Practical Guide</t>
  </si>
  <si>
    <t>John Fulton,Judith Kuit,Gail Sanders,Peter Smith</t>
  </si>
  <si>
    <t>Are you interested in studying for a professional doctorate but aren't sure what's involved? This book offers concrete, practical guidance for anyone wishing to study for a professional doctorate degree.Fully up-to-date and based on the latest developments in the field, The Professional Doctorate:&amp;nbsp;- Supports you through every stage of the journey, from identifying your research project and choosing your methodology through to the final assessment-&amp;nbsp;Gives advice on working with your supervisor, disseminating your findings and influencing your community of practice-&amp;nbsp;Encourages you to reflect on your personal development and transformation-&amp;nbsp;Features detailed case studies from real-life studentsBased on the authors' extensive experience of working with professional doctoral students, this much-needed resource will help you to master all aspects of this demanding degree.</t>
  </si>
  <si>
    <t>Essentials of Conservation Biology, Sixth Edition combines theory and applied and basic research to explain the connections between conservation biology and ecology, climate change biology, the protection of endangered species, protected area management, environmental economics, and sustainable development. A major theme throughout the book is the active role that scientists, local people, the general public, conservation organizations, and governments can play in protecting biodiversity, even while providing for human needs.Each chapter begins with general ideas and principles, which are illustrated with choice examples from the current literature. The most instructive examples are discussed in boxes highlighting projects, species, and issues of particular significance. Chapters end with summaries, an annotated list of suggested readings, and discussion questions. This new edition comes with extensive summary statements in the text margins, as study aids. Essentials of Conservation Biology, Sixth Edition is beautifully illustrated in full colour, and is written in clear, non-technical language, making it well-suited for undergraduate courses.</t>
  </si>
  <si>
    <t>Doing a Successful Research Project: Using Qualitative or Quantitative Methods</t>
  </si>
  <si>
    <t>Martin Brett Davies,Nathan Hughes</t>
  </si>
  <si>
    <t>Carrying out a research project is a daunting task, presenting you with deadline anxieties, unfamiliar language and practical dilemmas. This book is a straightforward, user-friendly guide on how to manage your research project successfully - akin to having a tutor at your side. Doing a Successful Research Project: • offers an accessible introduction to qualitative and quantitative methods• takes you through the entire research process from planning to write-up• includes extensive real-life examples of good and bad research practice The second edition of this no-nonsense textbook, containing further discussion of internet-based research methods, research ethics and more, provides students with the self-discipline and the confidence to conduct their own research projects, whatever discipline they are from, and also the understanding required to identify the advantages and disadvantages of different strategies.</t>
  </si>
  <si>
    <t>Caroline Kennedy-Pipe</t>
  </si>
  <si>
    <t>A lively and accessible new introduction to the origins and emergence of the Cold War.  Caroline Kennedy-Pipe brings to life the clashes of ideas and personalities that led Russia and America into decades of conflict and draws out important lessons for policy and analysis in today's equally formative period in world affairs.</t>
  </si>
  <si>
    <t>Lynn McAlpine,Gerlese Akerlind</t>
  </si>
  <si>
    <t>This book draws on research in Australia, Canada, UK, and US into the experiences of doctoral students, postdoctoral researchers and new academics. Each chapter develops research-informed implications for policy and practice to support developing academics, and concludes with commentaries by early career academics, developers and administrators.</t>
  </si>
  <si>
    <t>Roger King</t>
  </si>
  <si>
    <t>This book explores different national models of university systems, including their historical development. It examines major themes confronting higher education, such as globalization, the growth of regulatory states, markets and education as a tradable service, and new providers utilizing the latest information and communication technologies. It also looks at implications for traditional universities and national governments.</t>
  </si>
  <si>
    <t>Jennifer Walters</t>
  </si>
  <si>
    <t>Patterns of family life are changing rapidly and; with them, the role of fathers in parenting. Fatherhood and fathering are an important concern for every practitioner, whether they are working with fathers directly, with children, couples and families, or with individuals discussing their own fathers. Yet fathers are often neglected in research and overlooked in professional practice. This book synthesises existing and original research to provide a wide-ranging overview of the salient theoretical and practical issues inherent in working with fathers. Setting its analysis in a clear context of social and cultural change, the book highlights the importance of keeping fathers in mind at all times in therapeutic work. In particular, it: • Considers the practical challenges of engaging fathers in clinical work• Addresses issues of difference, whether of culture, class or domestic living arrangements• Draws on systemic, narrative and attachment theory to illuminate some of the key issues for practice• Discusses working with fathers from a variety of angles, including mental health issues in men, domestic violence, group work and working with fathers in prisons• Provides vivid and illuminating vignettes to illustrate issues for practice With its strong focus and emphasis on reflective practice, this is an essential book full of thoughtful and accessible guidance for trainees and practitioners in clinical psychology, psychotherapy, family therapy, social work and related fields.</t>
  </si>
  <si>
    <t>New Directions in Political Science: Responding to the Challenges of an Interdependent World</t>
  </si>
  <si>
    <t>Written by a team of leading scholars, this new text focuses on a range of key challenges posed by developments in 21st century politics to provide a state-of-the-art assessment of current thinking and future directions in Political Science and International Relations.</t>
  </si>
  <si>
    <t>Teaching for Understanding at University: Deep Approaches and Distinctive Ways of Thinking</t>
  </si>
  <si>
    <t>Noel Entwistle</t>
  </si>
  <si>
    <t xml:space="preserve">Research into how teaching affects the quality of student learning at university is a rapidly changing field. University teachers are increasingly required to develop their own strategies for effective teaching, often with limited guidance from their institutions. Teaching for Understanding at University not only outlines a wide range of recent developments in the area, but shows how approaches can be brought together to help university teachers think more imaginatively about ways of encouraging students' learning. Written in a way designed to be interesting and accessible to university teachers across disciplines, the volume concentrates on how students reach a personal understanding of the subject they are studying. Covering academic understanding, approaches to teaching, assessment methods and evaluation of teaching, the book provides a comprehensive introduction to the latest ideas on teaching and learning. Avoiding unnecessary jargon and 'business speak', this is the ideal book for the newly qualified lecturer, as well as the more experienced academic who is keen to consider their teaching methods from a fresh perspective. Noel Entwistle is Professor Emeritus of Education at the University of Edinburgh. He was previously the editor of the British Journal of Educational Psychology and Higher Education, and has an international reputation for his work in the field of student learning in higher education. </t>
  </si>
  <si>
    <t>Harvey Perkins,David C. Thorns</t>
  </si>
  <si>
    <t>How do our everyday environments inform our activities, routines and encounters? In what way has globalization affected the sites in which we work, relax and interact? Is there still a place for local identity in a globalized age? This book examines the ways in which we use local spaces and global processes to shape our identities. Showing how enhanced tourism, communication developments and increased diversity have effected the way we live every day, the text also explains how individuals, communities and cities react to such globalizing forces on a local level. Each chapter unravels complex connections between place, identity and global processes, and carefully outlines what core theory can tell us about key contemporary debates, including surveillance, environmental change and sustainability. Taking examples from urban and rural life, shopping malls and virtual worlds, the book encourages us to look at our immediate surroundings in a sociological light. Highlighting the interdependence of space and society in a rapidly changing world, this text is essential reading for those studying place and identity in Sociology, Cultural Studies, Geography, Urban Studies and Rural Studies.</t>
  </si>
  <si>
    <t>An Introduction to English Language: Word, Sound and Sentence</t>
  </si>
  <si>
    <t>Koenraad Kuiper,W. Scott Allan</t>
  </si>
  <si>
    <t>How does the English language work? If you are interested in discovering the answer to this question, then An Introduction to English Language is the ideal place to start. Written in a clear, lively, and easy-to-follow style, this introductory textbook is based around three core topics of linguistic study:WORD: English words, how they fit into sentences, their internal structure, their meaning and how they make up vocabularies for various purposes.SOUND: the sound systems of English, its phonetics and phonology, and English intonation and stress patterns.SENTENCE: English sentence structure and introductory English grammar.Now thoroughly revised and updated, the third edition of this essential guide features:  A multimedia companion website featuring quizzes, downloadable audio clips, Powerpoint slides and video lectures to match the book's structure– for use in the classroom or during private study: http://www.palgrave.com/language/kuiperandallan/  A new introduction to the field of linguistics, instantly familiarizing students to key issues and topics  Extra material on the different varieties of English worldwide - including more examples of regional dialectsAn Introduction to English Language is carefully designed as a course-book for either group or individual study, and it remains the essential text for students and teachers of English language and introductory linguistics.</t>
  </si>
  <si>
    <t>English Language: Description, Variation and Context</t>
  </si>
  <si>
    <t>Jonathan Culpeper,Francis Katamba,Paul Kerswill,Ruth Wodak,Tony McEnery</t>
  </si>
  <si>
    <t>'This is a rare beast – a comprehensive, authoritative and up-to-date survey of English Language and Linguistics that will provide students and researchers alike with a rich context for their work' – Professor Michael Hoey, University of Liverpool'This volume proves that it is still possible to make a difference in a world flooded by introductory textbooks - giving the English language in all its fascinating richness centre stage...written in an accessible style that makes for an attractive read, this will be a most useful companion for any student, undergraduate or graduate, of English and the linguistics of English.' - Professor Bernd Kortmann, Department of English, University of Freiburg, GermanyWhat is the English language like, why is it like that and what do we need to know in order to study it? This wide ranging introductory textbook not only presents the English language from multiple perspectives, but provides the reader with the necessary grounding in linguistics to investigate it for themselves.Written by a team of experts in diverse fields, English Language: Description, Variation and Context:• Covers both traditional topics and topics that have more recently come to prominence, notably concerning language use in context• Includes 'Advances' boxes, designed to give readers a sense of controversies, debates and further research in the area, and 'Illustrations' boxes, which contain extended and additional examples• Employs a research-led approach, making the latest developments in the field highly accessible for an undergraduate audience, yet fruitful for more advanced readers.Comprehensive and engaging, this invaluable textbook provides an ideal starting point for those new to the subject, straightforward progression for those who have studied it before and cutting-edge insights for more seasoned scholars.Edited by Jonathan Culpeper, Senior Lecturer in English Language, Francis Katamba, Professor of Linguistics, Paul Kerswill, Professor of Sociolinguistics, Ruth Wodak, Distinguished Professor of Discourse Studies and Tony McEnery, Professor of English Language and Linguistics and Dean of the Faculty of Arts and Social Sciences, all in the Department of Linguistics and English Language at Lancaster University.</t>
  </si>
  <si>
    <t>Studying Language: English in Action</t>
  </si>
  <si>
    <t>Urszula Clark</t>
  </si>
  <si>
    <t>Studying Language introduces key ideas about how English functions within its social and cultural contexts. It explores core topics of study such as language variation, pragmatics, stylistics and critical discourse analysis. Case studies provide worked analysis of sample texts, suggestions for further study and a further reading section.</t>
  </si>
  <si>
    <t>Keith Allan,Julie Bradshaw,Geoffrey Finch,Kate Burridge,Georgina Heydon</t>
  </si>
  <si>
    <t xml:space="preserve">Interested in discovering how language works? Daunted by the prospect of studying linguistics at university? The English Language and Linguistics Companion is a tool-kit for the novice linguist. Integrating study skills with substantive coverage, it offers an innovative approach to the study of English language and linguistics, helping students see how their chosen discipline 'fits together'.A one-stop resource, this practical and highly accessible guide:• Provides a comprehensive overview of contemporary approaches to the study of language and outlines the contribution of significant scholars to the development of the field• Introduces the core topics and concepts of linguistics and the study of language and summarizes key issues in applied linguistics • Defines and illustrates the key terms and concepts in the discipline of linguistics• Offers practical advice on the skills required when studying linguistics and suggests a range of possible career pathways• Illustrates approaches to linguistic research and recommends resources for linguistic inquiry and the study of language Packed full of information and guidance, this is an essential resource for prospective linguistics students and anyone with an interest in the study of language. </t>
  </si>
  <si>
    <t>Sara Thorne</t>
  </si>
  <si>
    <t>Introduces the basic terminology and concepts of modern grammar, with practical reinforcement throughout. The book contains exercises to test understanding and give readers the opportunity to consider grammar in context.</t>
  </si>
  <si>
    <t>John Henry</t>
  </si>
  <si>
    <t>From Plato to Einstein, via Copernicus and Darwin, this fascinating text shows how science came to be such a dominating and important aspect of modern culture. Presented as a lively and highly readable narrative, it provides a rich historicalsurvey of the major developments in scientific thought, from the Ancient Greeks to the twentieth century. Along the way, John Henry revises many false assumptions that have been made about the history of science and offers new interpretations. Grounded firmly upon the latest historical scholarship, the book explains how new scientific theories have emerged and analyses their impact on contemporary thinking. A Short History of Scientific Thought places the history of science within its social, cultural and historical contexts, covering key topics such as:  the relationship between science and religion the history of science and magic experimental and mechanical philosophy Newton's legacy theories of evolution</t>
  </si>
  <si>
    <t>Business, Government and Globalization</t>
  </si>
  <si>
    <t>Owen E. Hughes,Deirdre O'Neill</t>
  </si>
  <si>
    <t>The rise of globalization and heightened debate over trade, protection, competition, and the environment have created unprecedented challenges for businesses and governments worldwide. These are systematically assessed in this important new text.</t>
  </si>
  <si>
    <t>Mark Currie</t>
  </si>
  <si>
    <t>How have developments in literary and cultural theory transformed our understanding of narrative? What has happened to narrative in the wake of poststructuralism? What is the role and function of narrative in the contemporary world? In this revised, updated and expanded new edition of an established text, Mark Currie explores these central questions and guides students through the complex theories that have shaped the study of narrative in recent decades. Postmodern Narrative Theory, Second Edition:• establishes direct links between the workings of fictional narratives and those of the non-fictional world• charts the transition in narrative theory from its formalist beginnings, through deconstruction, towards its current concerns with the social, cultural and cognitive uses of narrative• explores the relationship between postmodern narrative and postmodern theory more closely• presents detailed illustrative readings of known literary texts such as Stevenson's Dr Jekyll and Mr Hyde and Conrad's Heart of Darkness, and now features a new chapter on Coetzee's Elizabeth Costello and Slow Man.Approachable and stimulating, this is an essential introduction for anyone studying postmodernism, the theory of narrative or contemporary fiction.</t>
  </si>
  <si>
    <t>Political Obligation</t>
  </si>
  <si>
    <t>John Horton</t>
  </si>
  <si>
    <t>How should we understand the relationship between citizens and governments, and what are the obligations of citizens? In this substantially revised new edition of an influential text, John Horton challenges dominant theories by offering an 'associative' account focusing particularly on what it is to be a member of a political community.</t>
  </si>
  <si>
    <t>Tim Marjoribanks,Karen Farquharson</t>
  </si>
  <si>
    <t>Are sports influenced by their social context? Can sport influence the social world? And how is sport changing in our increasingly globalized society? This thought-provoking text explores these questions and introduces key debates in the sociology of sport. Uncovering the power dynamics within sport and bringing this everyday topic under a sociological lens, the book:  explores hot topics and contemporary controversies, such as e-gaming, fan violence and sex testing examines the central role of technology and the media in how sport is consumed, represented and played discusses a wide range of thinkers, from Gramsci to Castells reflects on developments in sport at local, global and national levels. With clearly explained theory and vibrant case examples, this text shows how we engage with sport in social, political, cultural and economic terms. It is an indispensable text for students across the social sciences studying sports.</t>
  </si>
  <si>
    <t>A History of English Literature has received exceptional reviews. Tracing the development of one of the world's richest literatures from the Old English period through to the present day, the narrative discusses a wide range of key authors but never loses its clarity or verve. &amp;nbsp; Building on the book's established reputation and success, the third edition has been revised and updated throughout. It now provides a full final chapter on the contemporary scene, with more on genres and the impact of globalization.Features of this best-selling book include:• a helpful overview of each chapter• boxed biographies of authors, and tables of publications and historical events• on-page definitions of important terms and concepts• suggestions for further reading at the end of each chapter to aid study• portraits of authors, illustrations, maps and an index.A History of English Literature remains the essential companion for anyone wishing to follow the unfolding of writing in England from&amp;nbsp;its beginnings. It is ideal for those who know a few landmark texts, but little of the literary landscape that surrounds them; those who want to know what English literature consists of; and those who simply want to read its fascinating story.</t>
  </si>
  <si>
    <t>Rob Penhallurick</t>
  </si>
  <si>
    <t>How did English become a global language? What exactly is Standard English? What do slips of the tongue reveal about language?Studying the English Language answers these questions and many more. Organised into eighteen thematic chapters, each of which can be read at one sitting, this is a clear and lively introduction to the diversity and history of English, and to relevant contemporary and classic work in linguistics. Thoroughly updated and revised, this second edition contains three new chapters, on the story of American English, the spread of English across the world and the work of Noam Chomsky. Wide ranging and easy to use, other topics include the effects of dialect and accent on identity, swearing and offensive names in English, language and gender, language planning and theories about the origin of language. Full of entertaining examples, illustrations and useful guides to further reading, this is the ideal companion for all those new to the study of the English language, and essential reading for anyone with a general interest in the subject.</t>
  </si>
  <si>
    <t>Engineering Mathematics is the best-selling introductory mathematics text for students on science and engineering degree and pre-degree courses. Sales of previous editions stand at more than half a million copies. It is suitable for classroom use and self-study. Its unique programmed approach takes students through the mathematics they need in a step-by-step fashion with a wealth of examples and exercises. The book is divided into two sections with the Foundation section starting at Level 0 of the IEng syllabus and the main section extending over all elements of a first year undergraduate course and into many second year courses. The book therefore suits a full range of abilities and levels of access. &amp;nbsp; The Online Personal Tutor guides students through exercises in the same step-by-step fashion as the book, with hundreds of full workings to questions.</t>
  </si>
  <si>
    <t>Martin Griffiths</t>
  </si>
  <si>
    <t>International Relations (IR) theory has seen a proliferation of competing, and increasingly trenchant, worldviews with no consensus on how to evaluate their relative strengths and weakness. This innovative new text provides an original interpretation of how best to navigate the clash of perspectives in contemporary IR theory.The book provides a systematic overview of the main worldviews – such as realism, liberalism, and constructivism – and their associated theoretical underpinnings. Placing liberal internationalism at the heart of the debate, it argues that the main division in IR theory is between liberal internationalism and its critics. Griffiths examines both the strengths and weaknesses of liberal internationalism as a worldview, and also explores the competing worldviews that have been generated by the perceived flaws of this perspective.Examination of crucial policy issues is incorporated throughout the text, restoring the relevance of theory for those who wish to understand those policy issues. Moreover, this book revitalises the raison d'être of contemporary IR theory and shows the role it can play in making sense of the twenty-first century.</t>
  </si>
  <si>
    <t>Humanitarian Intervention: An Introduction</t>
  </si>
  <si>
    <t>A broad-ranging introduction to the theory, practice and politics of humanitarian intervention in the contemporary world. This second edition has been fully updated and includes a new chapter on Libya and the Arab Spring.</t>
  </si>
  <si>
    <t>Best Practice with Older People: Social Work Stories</t>
  </si>
  <si>
    <t>Karen Jones,Susanna Watson</t>
  </si>
  <si>
    <t xml:space="preserve">Social workers often have to handle a great deal of negativity in their working lives. This book celebrates social work practice at its most positive and influential and, in doing so, contributes to a growing literature on critical best practice.Focused on 12 unique and compelling stories of social work with older people, the authors:• provide a fresh and realistic insight into life as a social worker, and the dilemmas and difficulties that practitioners typically face• illustrate how knowledge, theory and research are integrated in professional decision-making and action• show social workers analyzing their own cases and include reflective questions to help readers formulate their own learning and thereby develop their own practiceThis book provides students on qualifying courses with an invaluable perspective on real life practice, and gives qualified practitioners the opportunity to reflect on and better their own practice. </t>
  </si>
  <si>
    <t>Fundamental Maths: For Engineering and Science</t>
  </si>
  <si>
    <t>Mark Breach</t>
  </si>
  <si>
    <t>Do you need to improve your confidence in maths?Does your maths need to be refreshed and refocused for engineering or science?Are there some elements of school maths you have forgotten or never quite mastered?With clear explanations, lots of examples and a friendly, encouraging style, Fundamental Maths is a short, easy-to-follow textbook that makes maths accessible and manageable for all.   Written for students entering HE or FE courses in engineering or science, the author covers all the core topics and breaks them down into easily digestible chunks, keeping explanations clear and concise throughout.Put past anxieties about maths or gaps in your knowledge behind you!</t>
  </si>
  <si>
    <t>Legal terminology need not be intimidating or obscure. This is the ideal introduction to the meaning of the core vocabulary which confronts anyone approaching the study of Law for the first time. It includes clear explanations of Latin words and phrases. The 2nd edition has been thoroughly updated and revised throughout.</t>
  </si>
  <si>
    <t>Solution-Focused Nursing: Rethinking Practice</t>
  </si>
  <si>
    <t>Margaret McAllister</t>
  </si>
  <si>
    <t>Nursing</t>
  </si>
  <si>
    <t>Introduces an innovative approach to nursing practice. Solution-focused nursing is a practical philosophy which emphasizes change at three levels: the client, nursing and society. It teaches three principles: to be cautious of dominant paradigms, to focus not only on problems but solutions too, and to work with and for clients rather than on them.</t>
  </si>
  <si>
    <t>Robbie Sutton,Karen Douglas</t>
  </si>
  <si>
    <t>Have you ever wondered why some people are attracted to each other? Or why some of your friends are more open to persuasion than others? Perhaps you've always wanted to know how to tell if someone is lying to you?Social Psychology is a dynamic new textbook that captures the vitality of the discipline and its relevance to everyday life, helping you to answer questions such as these. With its distinctive coverage of classic concepts as well as emerging areas, this is the definitive introduction to social psychology. Furthermore, innovative feature boxes and fascinating real-life examples will help you develop a range of skills that will be relevant to your future career. Social Psychology: * takes an inclusive and open-minded look at key topics, incorporating a range of different viewpoints that are essential to understanding the discipline in the 21st century&amp;nbsp;* is written with a broad international perspective, covering classic and contemporary research from all parts of the world&amp;nbsp;* includes a variety of novel and lively features, including: 'blind spots in social psychology', 'student project' features, and 'try it yourself' exercises&amp;nbsp;* provides a chapter dedicated to the lessons and skills that can be learned from the study of social psychology and how you can apply these to your future studies and career. Social Psychology comes with a companion website at www.palgrave.com/psychology/suttondouglas where students and lecturers can find a host of high-quality supporting materials.</t>
  </si>
  <si>
    <t>A Primer of Conservation Behavior</t>
  </si>
  <si>
    <t>Daniel Blumstein,Esteban Fernández-Juricic</t>
  </si>
  <si>
    <t>Conservation behaviour is the application of knowledge of animal behaviour to solve wildlife conservation problems. The goal of this Primer is to nurture the development of biologists interested in using animal behaviour to aid in solving biological conservation and wildlife management problems. This is the only practical guide fostering integration and showing how to apply animal behaviour based conceptual and methodological tools to issues that would benefit from this perspective. &amp;nbsp; This book is broadly aimed at biologists interested in or practicing conservation biology and wildlife management, including undergraduate and graduate students, conservation biologists, ecologists, wildlife managers, zoo personnel, animal behaviourists, and behavioural ecologists.</t>
  </si>
  <si>
    <t>Peter Grossman</t>
  </si>
  <si>
    <t>Discrete Mathematics for Computing presents the essential mathematics needed for the study of computing and information systems. The subject is covered in a gentle and informal style, but without compromising the need for correct methodology. It is perfect for students with a limited background in mathematics.This new edition includes:• An expanded section on encryption• Additional examples of the ways in which theory can be applied to problems in computing• Many more exercises covering a range of levels, from the basic to the more advancedThis book is ideal for students taking a one-semester introductory course in discrete mathematics - particularly for first year undergraduates studying Computing and Information Systems.PETER GROSSMAN has worked in both academic and industrial roles as a mathematician and computing professional. As a lecturer in mathematics, he was responsible for coordinating and developing mathematics courses for Computing students. He has also applied his skills in areas as diverse as calculator design, irrigation systems and underground mine layouts. He lives and works in Melbourne, Australia.</t>
  </si>
  <si>
    <t>Transforming the World: Global Political History since World War II</t>
  </si>
  <si>
    <t>An ambitious and engaging narrative survey that charts the history of the world from a political perspective, from 1937 to the post-9/11 era. Providing a wide-ranging assessment of global interactions in peace and war since World War II, Robbins connects the crises, conflicts and accommodations that have brought us to the still-troubled present.</t>
  </si>
  <si>
    <t>The RSC Shakespeare: The Complete Works: The Complete Works</t>
  </si>
  <si>
    <t>William Shakespeare</t>
  </si>
  <si>
    <t>Developed in partnership with The Royal Shakespeare Company, this fresh new Complete Works combines the very latest scholarship with elegant writing and design.  It boasts a wealth of features that will appeal to public and academic libraries, teachers, students and lovers of Shakespeare everywhere, including:A definitive modernized edition of Shakespeare's text based on the 1623 First Folio (the first and original Complete Works lovingly assembled by Shakespeare's fellow actors and the version of Shakespeare's text preferred by many actors and directors today);Thought-provoking essays on each play  and a superb general introduction by Professor Jonathan Bate;Jargon-free on-page notes which explain words or references unfamiliar to modern audiences;Photographs of classic or unusual performances;Clear, single-column page design, with plenty of space for writing notes;A key facts 'box' for each play which summarises the plot, major roles, language and sources.Leading the editorial team is renowned Shakespearean scholar Professor Jonathan Bate who has worked in close collaboration over many years with the artists and archivists at the RSC. His introductions and notes draw on a unique wealth of experience and resources and will help the reader to understand Shakespeare's plays as they were originally intended - as living theatre to be enjoyed and performed.</t>
  </si>
  <si>
    <t>Planning your Dissertation is a friendly and essential companion to your dissertation journey. It takes you step-by-step through the planning for each stage from your first idea to the finishing touches. Packed with practical advice and examples of student writing, this guide shows you how to:• find an idea and focus your research question• write a proposal• structure your literature review• choose your methodology• put the crucial finishing touches to your work</t>
  </si>
  <si>
    <t>David Armstrong,Lorna Lloyd,John Redmond</t>
  </si>
  <si>
    <t>Since the end of the Cold War, international organisations have assumed a greater importance on the world stage. The United Nations has played a key role in all of the major security issues during this period - increasingly called upon to address other global problems such as poverty and international crime - while the European Union has created a single currency and moved towards the adoption of a constitution. The growing significance of the World Trade Organisation and other economic institutions has led some to talk of the emergence of a structure of global governance; and international non-governmental organisations and social movements are now widely seen as forming a kind of global civil society that both challenges and participates in these developments.Building on the success of the previous edition (Versailles to Maastricht: International Organisation in the Twentieth Century), this book is a valuable introduction to the complex history of modern international organisation. David Armstrong, Lorna Lloyd and John Redmond:- pay close attention to the League of Nations, the UN and the EU- offer chapters on the new regionalism, global governance and international regimes and global civil society- adopt a thematic and analytical approach to the subject- provide a concise factual account of the rise of the international organisation</t>
  </si>
  <si>
    <t>Mark Beeson,Nick Bisley</t>
  </si>
  <si>
    <t>Fully revised, the second edition of this popular text provides an incisive and accessible survey of the key issues in world politics. Written by an international team of experts, the text includes new chapters on the media and international law, as well as updated chapters on pressing issues such as climate change and&amp;nbsp;resource security.</t>
  </si>
  <si>
    <t>Nicky Stanton</t>
  </si>
  <si>
    <t>This book will help students improve their speaking, listening, reading and writing skills. It will give an understanding of the importance of good communication skills for their personal development and career. It is relevant to a variety of courses: HE, FE, Professional, Open University, A-level and International Baccalaureate.</t>
  </si>
  <si>
    <t>Public Value: Theory and Practice</t>
  </si>
  <si>
    <t>John Benington,Mark H Moore</t>
  </si>
  <si>
    <t xml:space="preserve">This&amp;nbsp;text provides a concise and internationalized restatement of the public value approach, an assessment of its impact to date - in theory and practice - and of its particular relevance to the challenges of public management in a time of crisis and austerity. </t>
  </si>
  <si>
    <t>Persuading People: An Introduction to Rhetoric</t>
  </si>
  <si>
    <t>Robert Cockcroft,Susan Cockcroft</t>
  </si>
  <si>
    <t>From the ancient rhetoric of Aristotle to political speeches today, this new edition of Persuading People investigates and illuminates the art of persuasion. Starting with basic theory, the authors go on to analyse the rhetorical composition of different kinds of texts, from poetry to politics and drama to advertising.This comprehensively updated third edition• includes brand new sections on non-western rhetorics, contemporary rhetoric and rhetorical delivery• adds material on schema and other forms of cognitive rhetoric• provides new examples, as well as more practice exercisesWith its friendly tone, Persuading People is an invaluable introduction to the field for students of English Literature, Language and Linguistics, Drama, Communications and Media Studies.</t>
  </si>
  <si>
    <t>Ms Janice Brown,Ms Paula Libberton</t>
  </si>
  <si>
    <t>Principles of Professional Studies in Nursing supports readers as they work towards becoming professional nurses. Interactive and student-centred with case studies and learning activities/exercises throughout, this text enables students to discuss, debate and develop their understanding and practice for the delivery of client-centred care.</t>
  </si>
  <si>
    <t>Technology Entrepreneurship: Bringing Innovation to the Marketplace</t>
  </si>
  <si>
    <t>Natasha Evers,James Cunningham,Thomas Hoholm</t>
  </si>
  <si>
    <t>Integrating theory and practice, this book provides students with the knowledge, skills and practical approaches needed to deal with the challenges involved in managing, commercialising and marketing technological innovation and new business development.</t>
  </si>
  <si>
    <t>Mary Deane,Peter O'Neill</t>
  </si>
  <si>
    <t>'Writing in the Disciplines' (WiD) is a growing field in which discipline-based academics, writing developers, and learning technologists collaborate to help students succeed as subject specialists. This book places WiD in its theoretical and cultural contexts and reports on initiatives taking place at a range of UK higher education institutions.  Also includes surveys of current developments and scholarship in the US, Australia, Europe and elsewhere, making it of interest to both a UK and an international audience.</t>
  </si>
  <si>
    <t>A systematic and comprehensive introduction to contemporary party politics in democratic states and evaluation of whether, and to what extent, parties are - as is often claimed - in crisis or decline.</t>
  </si>
  <si>
    <t>The Palgrave Macmillan Core Statutes series is designed to meet the needs of today's law students. Compiled by experienced lecturers, each title contains the essential materials needed at LLB level (and, where applicable, on GDL/CPE courses) and is easy to use under exam conditions and in the lecture hall. This collection includes the following new materials:&amp;nbsp;- amendments made to the Copyright, Designs and Patents Act 1988 by the Enterprise and Regulatory Reform Act 2013&amp;nbsp;- Directive 2012/28/EU (certain permitted uses of orphan works)-&amp;nbsp;EU Regulations 1257/2012 and 1260/2012 (enhanced cooperation in creation of unitary patent protection)</t>
  </si>
  <si>
    <t>Leanne Weber,Elaine Fishwick,Marinella Marmo</t>
  </si>
  <si>
    <t>Crime, Justice and Human Rights is an introduction to the philosophy, law and politics of human rights, uniquely tailored to criminologists and criminal justice practitioners. Integrating human rights and criminological frameworks across a range of subject areas – from criminalization and state crime, to crime prevention and critical analyses of the operation of the police, courts and penal system – the authors highlight both the potential and the limitations of human rights in informing new directions in criminology. Featuring case material from Europe, North America, Australia and beyond, this critical, multidisciplinary text supports the teaching of human rights across a wide range of criminological topics, and assists students, researchers and independent readers to incorporate human rights paradigms into their criminological analysis.</t>
  </si>
  <si>
    <t>Exploring English With Online Corpora: An introduction</t>
  </si>
  <si>
    <t>Wendy Anderson,John Corbett</t>
  </si>
  <si>
    <t>Never before have so many electronic resources been available to support the teaching of English. From a wide variety of online corpora to specialized archives of speech and writing, teachers and students are faced with the challenge of understanding these resources and selecting those appropriate to their purpose. This accessible introduction demonstrates how freely available corpora can be used for the study of English at different linguistic levels, including vocabulary, grammar, discourse and pronunciation.   With clear descriptions and a practical approach, Exploring English with Online Corpora:• introduces readers to a range of online corpora that can be used to explore and analyse the English language• provides a detailed guide to interpreting corpus data• demonstrates how teachers and lecturers can integrate corpora into language courses• includes interactive tasks, a helpful glossary and further reading sectionsThis essential guide to the use of online corpora will be invaluable for students studying the English language and beginning to formulate their own research questions.</t>
  </si>
  <si>
    <t>For the Love of Learning: Innovations from Outstanding University Teachers</t>
  </si>
  <si>
    <t>Edited collection featuring essays from&amp;nbsp;exceptional National Teaching Fellows. Presents the cutting-edge of pedagogical thinking on the most important topics in higher education today, including student engagement, assessment, internationalisation and employability.&amp;nbsp;A 'must-read'&amp;nbsp;guide for&amp;nbsp;anyone involved in higher education.</t>
  </si>
  <si>
    <t>Global Health Inequities: A Sociological Perspective</t>
  </si>
  <si>
    <t>Despite living in a 'globalized' world where advances in medicine, technology and science come at an ever-increasing pace, there exist staggering inequalities in health. Even as we celebrate new pharmaceutical developments, access to already-existing medicines is hindered by economic and political barriers for poor people around the world. Critical but accessible, Global Health Inequities questions taken-for-granted assumptions, showing how breakthroughs in biomedicine alone cannot address inequities in health. The book's analysis of theory and empirical work elucidates key debates and highlights the most significant challenges facing global health today, including the growing burden of chronic non-communicable diseases and the persistent injustice of neglected tropical diseases. Fernando De Maio identifies the need for sociological analysis in global health, drawing together research from public health, sociology, anthropology and related fields, in order to expand the scope of the medical gaze towards a more holistic and structural perspective of health inequity.</t>
  </si>
  <si>
    <t>Live Online Learning: Strategies for the Web Conferencing Classroom</t>
  </si>
  <si>
    <t>Sarah Cornelius,Carole Gordon,Jan Schyma</t>
  </si>
  <si>
    <t>Equips new and experienced educators with the skills required to succeed in live online learning. Based on years of experience and research, the authors offer best practice guidelines and practical resources. A life saver for anyone wishing to develop creative, innovative teaching methods to provide great online experiences for their learners.</t>
  </si>
  <si>
    <t>Policing the Crisis: Mugging, the State and Law and Order</t>
  </si>
  <si>
    <t>Stuart Hall,Chas Critcher,Tony Jefferson,John Clarke,Brian Roberts</t>
  </si>
  <si>
    <t>This special 35th anniversary edition contains the original, unchanged text that inspired a generation, alongside two new chapters that explore the book's continued significance for today's readers. The Preface provides a brief retrospective account of the book's original structure, the rich ethnographic, intellectual and theoretical work that informed it, and the historical context in which it appeared. In the new Afterword, each of the authors takes up a specific theme from the original book and interrogates it in the light of current crises, perspectives and contexts.</t>
  </si>
  <si>
    <t>Social Movements and Globalization: How Protests, Occupations and Uprisings are Changing the World</t>
  </si>
  <si>
    <t>Globalization and social movements are inextricably linked. Contemporary social movements both shape and are shaped by globalization. Social Movements and Globalization explores this link, providing a fascinating insight into the dynamics, challenges and opportunities of contemporary social movements in a globalized world, whilst simultaneously revealing the effects, critiques and limitations of globalization. Engaging and accessible, the book's comprehensive introduction to the definitions, theories and debates surrounding social movements and globalization is richly illustrated by case studies from around the world - from Anonymous, to 15-M/Indignados, to the Zapatistas, the Arab Spring and more. In drawing on cutting-edge research, up-to-date analysis, and offering coverage of key areas of study - with chapters on the 'Global Justice Movement', cultural resistance, media, cyberactivism and the recent 'Global Protest Wave' of anti-austerity and pro-democracy movements - the book makes a vital and original contribution to a range of disciplines, not least Sociology, Politics, International Relations, Media Studies and Cultural Studies.</t>
  </si>
  <si>
    <t>The Language of Early English Literature: From Cædmon to Milton</t>
  </si>
  <si>
    <t>Sara M. Pons-Sanz</t>
  </si>
  <si>
    <t>How did the English language change from the Old to the Early Modern period? What effect do linguistic and stylistic choices have on a text? Why is it important to consider linguistic features together in a work?The grammar and vocabulary of the English language changed dramatically between the Old and Early Modern periods. These changes in language usage are explored in The Language of Early English Literature by examining the effect of authors' linguistic choices on the descriptions of characters, events, and situations. Written with today's undergraduate student in mind, thistextbook is a highly rewarding guide to the rich history of the English language and literature.The Language of Early English Literature:• provides detailed explanations of linguistic features, such as word formation, phrase structure,syntax, and semantics• analyses a wide range of texts from Old English, Middle English and Early Modern English, andestablishes comparisons with works written in other languages• includes an invaluable glossary and an extensive bibliography</t>
  </si>
  <si>
    <t>Through its use of conversational and supportive tones, this popular guide puts readers at ease, assisting the transition to academic study. With clear explanations, summaries and exercises, it is an invaluable companion for the mature student. This third edition has much new content including a new chapter on writing a dissertation proposal.</t>
  </si>
  <si>
    <t>Business-To-Business Marketing</t>
  </si>
  <si>
    <t>Daniel Michel,Pete Naudé,Robert Salle,Jean-Paul Valla</t>
  </si>
  <si>
    <t>This book is an adaptation of a successful French text, which is now into its second edition. The text is designed specifically for those students taking a Business-to-Business Marketing or Industrial marketing module at undergraduate or postgraduate level, and is designed to give the reader a thorough knowledge of how business-to-business markets operate.A major strength of this text is the European perspective it offers. It is an academically rigorous text with strong practical application, which have been tried in a variety of business settings. The text stresses the diversity that is found in the Business-to-Business environment and provides useable frameworks for dealing with this diversity. The book provides a theorectically sound and managerially useful approach to managing in Business-to-Business markets.Daniel Michel is a Professor of Marketing at EMLyon, France.Peter Naudé is Professor of Marketing at the School of Management at the University of Bath.Robert Salle is Director of Research at EMLyon, France.Jean-Paul Valla is Development manager at ALGOE in Lyon as well as a Director of Research at EMLyon, France.</t>
  </si>
  <si>
    <t>Contemporary Security and Strategy</t>
  </si>
  <si>
    <t>This text brings together a range of specially-commissioned chapters to provide an accessible introduction to Security Studies in the 21st century. Thethird edition has been expanded to cover non-military challenges to security, and includes new learning aids.</t>
  </si>
  <si>
    <t>Bennet P. Lientz</t>
  </si>
  <si>
    <t>Many of the project management methods and techniques of the past are still being used today, even though the technology, management and environment have changed. Information Technology Project Management explores the need to employ a modern project management approach to reflect today's environment. Focusing on IT projects, Lientz provides a comprehensive examination of the project management process, from the initiation of the project through to the planning, design, execution and closing.Key Features:• Detailed coverage of PMBoK and PRINCE2 methodologies• Explores the practical aspects of project management• Extensive case studies from a variety of industries• Checklists and scorecards to measure all aspects of the project management process• Coverage of HRM and other 'soft' elements of project management• Guidelines on preventing project problems and failureBased on the authors own extensive industry and teaching practice, Information Technology Project Management is an essential resource for undergraduate, postgraduate and MBA students studying project management. Earlier editions of this work were published as Breakthrough Technology Project Management.</t>
  </si>
  <si>
    <t>Intoxication and Society: Problematic Pleasures of Drugs and Alcohol</t>
  </si>
  <si>
    <t>Jonathan Herring,Ciaran Regan,Darin Weinberg,Phil Withington</t>
  </si>
  <si>
    <t>Intoxicants, substances that alter a person's mental and physiological state, are a continuing obsession. In their effect on the mind and body, intoxicants go to the heart of what it means to be human. In the tensions between 'free' and uninhibited consumption on the one hand, and the pressures of social regulation and personal responsibility on the other, they also illuminate the daily paradoxes, and sheer complexity, of living in modern Western societies. Yet this complexity, and the rich history that underpins it, is often lost in the current debates over public policy.Intoxication and Society sets out to supplement the contemporary discourse surrounding intoxication with a more nuanced appreciation of the history and nature of what is very much a multidimensional problem. It does so by employing an interdisciplinary framework that includes contributions from leading academics in law, sociology, anthropology, history, literature, neuroscience and social psychology. The result is a subtle historical and contemporary rereading of the social construction of intoxication that will provide a secure basis for analysis as society continues to respond to the problematic pleasures of intoxication</t>
  </si>
  <si>
    <t>Jonathan Sutherland,Diane Canwell</t>
  </si>
  <si>
    <t>Leisure studies encompasses the broadest range of leisure and sports pursuits and marries management, administration and sports, as well as customer service. Key Concepts in Leisure presents an indispensable guide to the key themes and concepts in this rapidly developing, fast-paced and demanding industry.</t>
  </si>
  <si>
    <t>Key Concepts in Strategic Management is one of a range of comprehensive glossaries with entries arranged alphabetically for easy reference. All major concepts, terms, theories and theorists are incorporated and cross-referenced. Additional reading and Internet research opportunities are identified. More complex terminology is made clearer with numerous diagrams and illustrations. With over 500 key terms defined, the book represents a comprehensive must-have reference for anyone studying a business-related course or those simply wishing to understand what strategic management is all about. It will be especially useful as a revision aid.</t>
  </si>
  <si>
    <t>Knowledge Management and Information Systems: Strategies for Growing Organizations</t>
  </si>
  <si>
    <t>Robert Mellor</t>
  </si>
  <si>
    <t>Knowledge Management and Information Systems Strategy for Growing Organizations examines the role that information systems play in helping SMEs use knowledge to achieve strategic organizational goals. Adopting a business perspective, it is ideal for students studying strategic information systems and knowledge management.</t>
  </si>
  <si>
    <t>Managing Information in Organizations: A Practical Guide to Implementing an Information Management Strategy</t>
  </si>
  <si>
    <t>New core text for Managing Information modules examining the issue of information management from both a business and an IT perspective. Grounded in the theory, it takes a practical, problem-solving approach that provides students with&amp;nbsp;tools and insights to understand how to formulate and implement information&amp;nbsp;management strategies.</t>
  </si>
  <si>
    <t>Richard Jackson,Lee Jarvis,Jeroen Gunning,Marie Breen-Smyth</t>
  </si>
  <si>
    <t>In the years since 9/11, terrorism has been transformed into an issue of global significance. Terrorism and the war on terror has affected virtually every aspect of modern life, and a precise understanding of terrorism is now more important – and contentious – than ever.This innovative text provides a much-needed critical introduction to terrorism. Cutting-edge research on contemporary issues is combined with new insights into long-debated issues such as the definition of terrorism, the nature of the terrorist threat and counter-terrorism strategies. Showing that the methods we adopt as well as the material we study are vital for a clear understanding of the subject, this text goes beyond traditional IR approaches to rethink popular beliefs and assumptions about terrorism. Taking a genuinely global and integrated approach, this book is an ideal entry into the study of terrorism.The text is supported by:• International case studies from around the world• A detailed glossary introducing key actors, events and concepts relating to terrorism• Learning aids to stimulate critical thinking, including discussion questions, further readings and selected web resources</t>
  </si>
  <si>
    <t>Susan L. Carruthers</t>
  </si>
  <si>
    <t>News media, movies, blogs and video games issue constant invitations to picture war, experience the thrill of combat, and revisit battles past. War, it's often said, sells. But what does it take to sell a war, and to what extent can news media be viewed as disinterested reporters of truth?Lively and highly readable, this book explores how wars have been reported, interpreted and perpetuated from the dawn of the media age to the present digital era. Spanning a broad geographical and historical canvas, Susan L. Carruthers provides a compelling analysis of the forces that shape the production of news and images of war – from state censorship to more subtle forms of military manipulation and popular pressure. This fully revised second edition has been updated to cover modern-day conflict in the post 9/11 epoch, including the wars in Iraq and Afghanistan. Rich in historical detail, The Media at War also provides sharp insights into contemporary experience, prompting critical reflection on western society's paradoxical attitudes towards war.</t>
  </si>
  <si>
    <t>From war, terrorism and weapons of mass destruction, through environmental and economic crises, to epidemics, cyber-war and piracy, the twenty-first century world seems beset by a daunting range of international security problems.At the same time, the academic study of security has become more fragmented and contested than ever before as new actors, issues and theories increasingly challenge traditional concepts and approaches.This innovative new text focuses on the politics of international security: how and why issues are interpreted as threats to international security and how such threats are managed. After a brief introduction to the field and its major theories and approaches, the core chapters systematically analyze the major issues on the contemporary international security agenda. Each is examined according to a common framework that brings out the nature of the threat and the responses open to policy makers.</t>
  </si>
  <si>
    <t>Laurie Buonanno,Neill Nugent</t>
  </si>
  <si>
    <t>This major new text on EU policy-making provides a concise but systematic introduction to the main policy areas in which the EU is active and the way in which EU policy is made, explaining how and why the EU's policy portfolio has developed as it has and the distinctive characteristics of each broad policy area.</t>
  </si>
  <si>
    <t>In this updated and revised new edition the author examines recent developments to the European Union's Common Security and Defence Policy and assesses its systems, processes and limitations. He situates events in a clear historical context and provides wide-ranging theoretical approaches to aid understanding.</t>
  </si>
  <si>
    <t>Stephan Keukeleire,Tom Delreux</t>
  </si>
  <si>
    <t>A comprehensive analysis of the foreign policy of the EU assessing the history, actors, processes, partnerships and rivalries of this key area of EU policy. The second edition includes additional case studies, a new chapter on foreign policy analysis, and is fully revised and updated to take account of the latest trends, issues and research.</t>
  </si>
  <si>
    <t>Understanding the European Union: A Concise Introduction</t>
  </si>
  <si>
    <t>This best-selling textbook provides a broad-ranging but concise introduction to the EU, covering all major aspects of European integration. The revised and updated new edition takes full account of the political and economic impact of the Eurozone crisis.</t>
  </si>
  <si>
    <t>Interest Representation in the European Union</t>
  </si>
  <si>
    <t>Justin Greenwood</t>
  </si>
  <si>
    <t>• Why is the EU so reliant upon exchanges with interest organisations?• What safeguards have been developed to prevent capture by special interests, and how effective are these?• How does the EU system of interest representation compare with those of other systems, and what are its unique features?The fully revised third edition of this highly-acclaimed book provides an authoritative and comprehensive assessment of the role of organized interests in the EU. Showing that interest representation is a key aspect of the European project, it examines the significance of interests for everyday policy-making, for European integration, and for the democratic legitimacy of the EU. Accessibly written and thoroughly updated, the new edition contains additional material on the regulation of lobbying and the European Transparency Register.</t>
  </si>
  <si>
    <t>Hannah Farrimond</t>
  </si>
  <si>
    <t xml:space="preserve">'This in an excellent text on a topic that is becoming increasingly important for students and professionals alike. It is well-researched, written in a clear and accessible style, and will be extremely useful for both novice and experienced researchers' – Patrick White, University of Leicester, UK'Offering incredibly useful and practical guidance, this book talks through some very recognisable problems whilst giving accessible discussions of complex issues for those new to these topics. With provocative ethical dilemmas and questions posed throughout, it encourages the reader to think critically about ethics processes that are often about interpretation.' - Nathan Hughes, University of Birmingham, UK.Navigating ethical issues throughout your research project can be a confusing and daunting task. But why are ethics so important anyway? Can you anticipate or prepare for ethical dilemmas before they happen? And what can you do if they arise in your research? Doing Ethical Research offers essential advice on how to negotiate ethical considerations at each stage of your project, from the approval application to the final report write-up. In particular, the book:- examines the fundamental importance of ethical research and assessment- explores hot topics of consent, confidentiality and research relationships- includes ethical dilemmas and case studies to show how ethics affect real-life research- gives readers confidence to interpret and critically reflect upon ethical debatesEach chapter is packed with clear examples and explanations that are designed to help readers to make their own ethical decisions. It is an essential resource for all researchers, whatever their level or research background. </t>
  </si>
  <si>
    <t>Ethics, Law and Professional Issues: A Practice-Based Approach for Health Professionals</t>
  </si>
  <si>
    <t>Ann Gallagher,Sue Hodge</t>
  </si>
  <si>
    <t>As a healthcare practitioner, you will face a broad range of professionaldilemmas in your everyday practice. From seeking consent to upholdingpatient confidentiality, you'll rely on your knowledge of ethics, the lawand professional codes of conduct to guide your actions. Balancing thesethree strands can be difficult, but with detailed scenarios and accessiblediscussion, this book guides you through the complexities of practice. Taking a practice-based approach, the text explores the combination ofethical, legal and professional issues which characterise the field ofhealthcare. A range of experienced contributors come together toprovide:■ detailed analysis of confidentiality, accountability, consent, capacityand justice, all grounded within the daily practice context;■ authoritative guidance through discussion of legal cases, excerptsfrom statutes and extracts from professional guidelines;■ realistic scenarios drawn from a range of health settings, unravellingand illustrating the guidelines, statutes and policies which influencepractice;■ advice on balancing the conflicting pressures of the modern healthcarecontext, from facing time limitations to challenging the unprofessionalpractice of others. Ethics, Law and Professional Issues puts you at the centre of some of apractitioner's most difficult decisions. It is therefore an essential resourcefor any student of healthcare looking to develop an ethically, legallyand professionally sound approach to practice.</t>
  </si>
  <si>
    <t>Facilitating Workshops: A Resource Book for Lecturers and Trainers</t>
  </si>
  <si>
    <t>Hayo Reinders,Marilyn Lewis</t>
  </si>
  <si>
    <t>The only book providing advice on facilitating workshops aimed specifically at lecturers and academics. Full of practical resources and materials including suggested activities, handouts and whiteboard layouts to help people tasked with running workshops in higher education settings or at conferences, even without having received specific training.</t>
  </si>
  <si>
    <t>Key Concepts in Human Resource Management is one of a range of comprehensive glossaries with entries arranged alphabetically for easy reference. All major concepts, terms, theories and theorists are incorporated and cross-referenced. Additional reading and Internet research opportunities are identified. More complex terminology is made clearer with numerous diagrams and illustrations. With over 500 key terms defined, the book represents a comprehensive must-have reference for anyone studying a business-related course or those simply wishing to understand what human resource management is all about. It will be especially useful as a revision aid.</t>
  </si>
  <si>
    <t>Leading Dynamic Seminars: A Practical Handbook for University Educators</t>
  </si>
  <si>
    <t>James H. Anderson,Andrew Bellenkes</t>
  </si>
  <si>
    <t>Hands-on, practical guide helping academics to reinvigorate their seminar teaching. Ideal for new higher education staff seeking guidance as well as more experienced academics looking for tips and ideas. Covers all elements of seminar-based instruction including encouraging participation, handling sensitive topics and incorporating new technology.</t>
  </si>
  <si>
    <t>Strategic Leadership: Governance and Renewal</t>
  </si>
  <si>
    <t>Brian Leavy,Peter McKiernan</t>
  </si>
  <si>
    <t>This is a concise, thematic strategy text which will help students  to see organizations from the perspective of the Chief Executive and to understand and debate the challenges, opportunities and issues which constitute the role of the CEO.</t>
  </si>
  <si>
    <t>Our Violent World: Terrorism in Society</t>
  </si>
  <si>
    <t>What can the analysis of violence and terror tell us about the modern world? Why is violence often used to achieve religious, cultural or political goals? Can we understand the search for the extreme that increasingly shapes violence today?  &amp;nbsp; From 1960s student movements to today's global jihad, this text explores the factors and debates shaping violence and terrorism in our contemporary society. Each chapter confronts examples of disturbing terrorist acts and events of mass violence from recent history and uses these to examine key questions, theories and concepts surrounding this sensitive and controversial topic. In particular, the book:- identifies core tools for the analysis of public violence - explores the processes that mutate social movements into violent groups- describes the cultural, embodied, experiential and imagined dimensions of violence- highlights different periods and varying forms of terrorist violence - examines the role of globalization, media, technology and the visual in violence and terror today.Our Violent World shows how the social sciences can contribute to an understanding of violence and responses to terror, as well as the construction of a social world less dominated by fear of the other. It is a must-read for students and citizens.</t>
  </si>
  <si>
    <t>Roger Watson,Ian Atkinson,Patricia Egerton</t>
  </si>
  <si>
    <t>Successful Statistics For Nursing and Healthcare helps students to gain an understanding of statistical methods within the evidence-based health care context. It builds confidence in descriptive statistics, concentrating on appropriate statistical tools and the techniques used in research, whilst gently introducing the mathematics required.</t>
  </si>
  <si>
    <t>The US-EU Security Relationship: The Tensions between a European and a Global Agenda</t>
  </si>
  <si>
    <t>Wyn Rees</t>
  </si>
  <si>
    <t>A constantly evolving security agenda has become a vital part of US–EU relations. Contemporary security challenges such as the rise of international terrorism and the threat from 'states of concern' have – in recent years – forced the US and the EU to adapt their relationship and work together in new ways. Written by a leading authority, this incisive and wide-ranging book systematically examines the development of the transatlantic security relationship in the post-Cold War era. It assesses the nature of the US and EU as international actors and considers how they cooperate together. Rees argues that – despite divergences of interest after the end of the Cold War – the complex nature of contemporary challenges is driving both sides of the Atlantic towards increased cooperation. In addition, the book looks in detail at how global and European issues such as EU defence and enlargement policies, nuclear non-proliferation, and the war on terror have affected security relations.</t>
  </si>
  <si>
    <t>Mike Markel</t>
  </si>
  <si>
    <t>The brief version of the bestselling book Technical Communication provides students with accessible and easy-to-follow strategies for tackling the major types of documents - from writing reports to job applications. Interactive features are included throughout to guide students through the process.</t>
  </si>
  <si>
    <t>Autobiography and Performance: Performing Selves</t>
  </si>
  <si>
    <t>Autobiography and Performance offers a comprehensive overview of the use of autobiography in performance. Examining the work of key practitioners, Heddon argues that autobiographical performancesact as sites of resistance and intervention and uncovers the political potentials and limits that accompany the use of the personal in performance</t>
  </si>
  <si>
    <t>Steve Matthewman,Catherine Lane West-Newman,Bruce Curtis</t>
  </si>
  <si>
    <t>This original, thematic introduction to sociology encourages students to look afresh at a world they think they know. Taking 20 different ways of existing and acting in the world, such as 'believing' or 'educating', it covers all the key areas of first year study and equips readers with the skills to think sociologically.</t>
  </si>
  <si>
    <t>Robert H. Blank,Viola Burau</t>
  </si>
  <si>
    <t>A broad-ranging introduction to the provision, funding and governance of health care across a variety of health systems. The fully revised fourth edition incorporates additional material on global health issues and expanded coverage of the role and functions of international organizations in relation to the provision and management of health care.</t>
  </si>
  <si>
    <t>Cosmopolitanisms: New Thinking and New Directions</t>
  </si>
  <si>
    <t>Cosmopolitanisms explores how social groups find ways of living productively with each other. This book analyzes theoretical approaches and research to give a new understanding of the cultural, personal, moral and legal dimensions of cosmopolitanism. This is a key critical guide to cosmopolitanism for all students of globalization and sociology.</t>
  </si>
  <si>
    <t>Democratization: A Critical Introduction</t>
  </si>
  <si>
    <t>Jean Grugel,Matthew Louis Bishop</t>
  </si>
  <si>
    <t>The second edition of this popular and authoritative text provides a truly global assessment of democratization in theory and practice in the contemporary world. It has been systematically revised and updated throughout to cover recent developments, from the impact of 9/11 and EU enlargement to the war in Iraq.</t>
  </si>
  <si>
    <t>Entrepreneurship and Small Business: Start-up. Growth and Maturity</t>
  </si>
  <si>
    <t xml:space="preserve">Entrepreneurship&amp; Small Business examines how firms develop from start-up, both tracing growth and exploring failure. It studies entrepreneurs - what motivates them, how they manage and lead, and how certain defining characteristics they possess can help shape the businesses they run.  The book outlines good management practice for students and encourages and develops entrepreneurial skills. Clearly structured and accessibly presented, the comprehensive coverage includes accounting control and decision-making, as well as chapters on family businesses, corporate, international and social entrepreneurship. Case insights, long case studies and discussion scenarios are used to practically demonstrate how concepts are implemented in successful small and growing companies.  Burns' text is ideal for undergraduates, MBA students, and students taking specialist postgraduate modules on Entrepreneurship, Enterprise, Small Business Management and New Venture Creation within business and management courses.  </t>
  </si>
  <si>
    <t>Information History in the Modern World: Histories of the Information Age</t>
  </si>
  <si>
    <t>Information has a rich but under explored history. The information age of the late twentieth century witnessed the emergence of a new history of information and, in this timely collection of essays, a team of international scholars from a variety of disciplines examines the changing understandings of information in the modern world.Situating the concept of information in varying historical contexts since the eighteenth century, Information History in the Modern World: Histories of the Information Age:• explores how this historical research can challenge our perceptions of the information age in the global twenty-first century• discusses ephemera, wars, imagery, empire, identification and the transience of history in the digital era• argues that the changing uses, perceptions and manifestations of information helped to shape the world we know today.Authoritative and approachable, this is an invaluable resource for anyone who is interested in how and why information has become a distinguishing feature of the modern world.</t>
  </si>
  <si>
    <t>Key Concepts in International Business  is one of a range of comprehensive glossaries with entries arranged alphabetically for easy reference. All major concepts, terms, theories and theorists are incorporated and cross-referenced. Additional reading and Internet research opportunities are identified. More complex terminology is made clearer with numerous diagrams and illustrations. With over 500 key terms defined, the book represents a comprehensive must-have reference for anyone studying a business-related course or those simply wishing to understand what international business is all about. It will be especially useful as a revision aid.</t>
  </si>
  <si>
    <t>John Peck,Martin Coyle</t>
  </si>
  <si>
    <t xml:space="preserve">Literary Terms and Criticism has long been established as the best-selling guide to the study of English literature.  It offers a comprehensive introduction to English poetry, drama and the novel, complete with practical advice and tips on how to analyse texts and how to make sense of the critical terms we employ in discussing literature.  It is also the clearest and most useful of all guides to modern critical theory.  There are entries on all aspects of critical thinking, ranging from traditional criticism through to postcolonialism and cultural materialism. This new edition also contains updated material, a revised further reading list and additional discussion of critical terms and approaches.  In so doing, it remains the indispensable guide -  providing you with the vital starting-point for whatever text you are studying, and giving you ideas you can draw on throughout your course. </t>
  </si>
  <si>
    <t>Medieval Warfare: Theory and Practice of War in Europe, 300-1500</t>
  </si>
  <si>
    <t>Helen Nicholson</t>
  </si>
  <si>
    <t>Warfare in medieval times was never static or predictable - although there were ideals and conventions to follow, in the field commanders had to use their initiative and adapt to the needs of the moment.  In this concise, wide-ranging study, Helen Nicholson provides the essential introductory guide to a fascinating subject.Medieval Warfare- surveys and summarises current debates and modern research into warfare throughout the whole of the medieval period across Europe- sets medieval warfare theory and practice firmly into context as a continuation and adaptation of practice under the Roman Empire, tracing its change and development across more than a millennium- considers military personnel, buildings and equipment, as well as the practice of warfare by land and sea</t>
  </si>
  <si>
    <t>The Holocaust is a subject of enormous historical importance. The murder of approximately 6 million Jews stands apart as a perhaps the most horrendous episode in world history; in this fresh introduction, McDonough examines the racial war-within-a-war, outlining controversies and examining how it has been popularised and institutionalised.</t>
  </si>
  <si>
    <t>L. Hamill</t>
  </si>
  <si>
    <t xml:space="preserve">Covering all the fundamental topics in hydraulics and hydrology, this text is essential reading for undergraduate students and practising engineers around the world who want an accessible, thorough and trusted introduction to the subject. By encouraging readers to work through examples, try simple experiments and continually test their own understanding as the book progresses, the text quickly builds confidence. This hands-on approach aims to show students just how interesting hydraulics and hydrology are, as well as providing an invaluable reference resource for practising engineers. Key features:• an easy-to-read, engaging text• a wealth of worked examples to reinforce the theory• boxed highlights and Remember! features• Self Test and Revision Questions with solutions• a wide range of figures and photographsThis third edition includes: • Updates on climate change, flood risk management, flood alleviation, design considerations when developing greenfield sites, and the design of storm water sewers • A new chapter on sustainable storm water management </t>
  </si>
  <si>
    <t xml:space="preserve">From video games that allow us to participate in Mafia-style violence, to newspaper reports about the latest terrorist atrocity, from detective novels that fill our bedside cabinets, to Hollywood's beloved legal dramas – the mass media is saturated with stories about crime, justice and disorder. Together they create a cultural landscape of crime that is distinctly at odds with reality, as criminologists are apt to complain.  Crime and the Media attempts to make sense of this cultural landscape and its relationship with broader social trends and public attitudes. Through focussed, critical discussions about crime in the media - taking on crime news and fictional representations of cops, courts, and corrections - the text equips students with an understanding of the key theoretical concepts and methodological tools that are required to undertake media analysis.  With questions for discussion, exercises and workshop sessions, as well as techniques for analysing crime in a range of media formats, the book makes an invaluable contribution to crime and media courses, and to the social sciences in general. </t>
  </si>
  <si>
    <t>Gordon Jack,Helen Donnellan</t>
  </si>
  <si>
    <t>When working with children to promote their welfare and safeguard them from harm, the best course of action is not always clear. Based on two of the most important organizing frameworks – human ecology and child development – Social Work with Children provides an invaluable guide for working with a wide range of children.Divided into two parts, this book:• Explores interactions between children's development, their relationships and the environments in which they are brought up, at different stages in their lives;• Demonstrates how up-to-date legislation and policy across the UK shapes practice with different groups of children; • Considers the expectations and requirements of social workers, and how this influences the development of professional identity; • Encourages readers to reflect on their own skills, knowledge and experience by providing practice pointers throughout.This is an outstandingly clear and comprehensive guide to social work with children for students and practitioners in the field.</t>
  </si>
  <si>
    <t>The Democratic Value of News: Why Public Service Media Matter</t>
  </si>
  <si>
    <t>Just how important are public service media to democratic culture? Stephen Cushion puts forward the convincing argument that, for all the commercial choice and competition in contemporary news culture, public service media do not only remain distinctive from market-driven media, they contribute to raising the editorial standards of journalism more widely as well.At a time when public service media are under increasing pressure to justify their licence fees, Cushion undertakes a comprehensive review of studies examining the 'quality' of journalism produced by public and market-driven media around the world. In doing so, some important and timely questions are raised: Do public service media supply editorially distinctive news to market-driven media? Should citizens continue to subsidize news when so much commercial competition and choice is available? Reviewing also the impact news has on people's knowledge, civic participation and levels of trust towards competing media systems, he finds that the democratic value of news is more likely to be enhanced when it is produced by public rather than market-driven media. The Democratic Value of News provides a useful hybrid of theory and practice and helpfully introduces the concept and history of public service broadcasting. It aims to develop and encourage scholarship asking whether public service media are distinctive from market-driven systems, in addition to serving as an invaluable textbook for undergraduate and postgraduate students of Media, Journalism and Communication studies.STEPHEN CUSHION is a Lecturer in Journalism at the Cardiff School of Journalism, Media and Cultural Studies, Cardiff University, UK.</t>
  </si>
  <si>
    <t>Sport In History: An Introduction</t>
  </si>
  <si>
    <t>Jeffrey Hill</t>
  </si>
  <si>
    <t>This wide-ranging analysis of the key themes and developments in sports history provides an accessible introduction to the topic. The book examines sports history on a global scale, exploring the relationship between sports history and topics such as modernization, globalization, identity, gender and the media.</t>
  </si>
  <si>
    <t>Neil Niven</t>
  </si>
  <si>
    <t>The study of psychology is a key part of nursing training. The Psychology of Nursing Care is built around nursing themes and focuses on those areas of psychology with direct relevance to nursing practice, omitting those with little bearing. The result is an applied psychology of nursing profoundly useful to pre-registration students.</t>
  </si>
  <si>
    <t>Karen Rodham</t>
  </si>
  <si>
    <t>Why is having a good diet and getting plenty of exercise so important for our health? How do we know that smoking is bad for us?In this illuminating introduction, Rodham unpacks the relationship between our behaviour and health, exploring the principal areas that concern health psychologists, including health promotion, policy and specific issues such as eating behaviour and stress.Whatever your level of study, this overview of health psychology will help you get to grips with the main issues and allow you to push your understanding further.</t>
  </si>
  <si>
    <t>Ecological Restoration provides a comprehensive overview of the strategies being used around the world to reverse human impacts on landscapes, ecosystems, and species. This book aims to improve the outcomes of restoration practice by strengthening the connections between ecological concepts and real-world decision-making. Students explore each topic considering both research-based knowledge and lessons learned from 19 actual restorations. Details of these ecological restorations, from underwater reefs to mines in hot deserts, are woven into each chapter, presented as case studies, and used in exercises.The book explains and applies basic concepts from many supporting fields that serve as the foundation for practice, including ecology, conservation biology, earth and water sciences, environmental design, and public policy.</t>
  </si>
  <si>
    <t>Thomas N. Sorrell</t>
  </si>
  <si>
    <t>This book's mechanistic approach constructs organic chemistry from the ground up, focusing on the points of relativities, whilst still covering organic compound classes in the traditional order. Hundreds of worked examples and student exercises combine with clear writing and a sound pedagogy to make this text an exceptional choice.</t>
  </si>
  <si>
    <t>Molecular Origami: Precision Scale Models from Paper</t>
  </si>
  <si>
    <t>Robert Hanson</t>
  </si>
  <si>
    <t xml:space="preserve">This is a fun, hands-on guide to understanding the basic structure and chemistry of matter. Drawing on the Japanese art of paperfolding, the book provides rip-out patterns for 124 molecules, along with easy instructions for folding them into scale models, many of which are three-dimensional. The molecules progress from simple ones like methane to more exotic structures such as quartz and buckminsterfullerenes. Questions and discussions are included."Who will use this book? Any chemist who is young at heart might like to snip, fold, and glue, and in doing so might well come away with a deeper knowledge of the bricks of their trade. Any teacher should be able to use them as an aid to teaching, at all levels ... Anything that renders chemistry less abstract, more tangible, is to be welcomed, and this unassuming, engaging publication deserves to be well received." P. W. Atkins, THES </t>
  </si>
  <si>
    <t>Donald R. Prothero,Fred Schwab</t>
  </si>
  <si>
    <t>An accessible and engaging introductory text, the updated third edition utilizes important current research in tectonics and sedimentation and focuses on crucial geological principles. Contributions from chemistry, physics, and structure are drawn upon throughout to help students gain an understanding of Earth's sedimentary rock record.</t>
  </si>
  <si>
    <t>Deborah Allen,Kimberly Tanner</t>
  </si>
  <si>
    <t>This collection of essays offers practical advice, insights and strategies for teaching science more effectively and engagingly. The guide is appropriate for new instructors, and is even of interest to those who have been teaching for many years.</t>
  </si>
  <si>
    <t>Carl Hoeger,Laurence Lavelle,Yinfa Ma</t>
  </si>
  <si>
    <t>The Student's Solutions Manual follows the problem-solving structure set out in the main text, and includes detailed solutions to ll odd-numbered exercises in the main text, Chemical Principles, International Edition, 6th edition (978-1-4641-2067-1)</t>
  </si>
  <si>
    <t>STAT2: Building Models for a World of Data</t>
  </si>
  <si>
    <t>Ann R. Cannon</t>
  </si>
  <si>
    <t>STAT2 is designed to help students build on their statistical knowledge in order to analyze rich datasets using statistical models. The book develops a systematic approach to using different models and includes exercises to allow students to practice working with real data alongside output from statistical software. A free access code to a premium website for students comes with every new copy of the book.</t>
  </si>
  <si>
    <t>This book&amp;nbsp;captivates student interest, opening minds to the wonder of developmental biology, whilst covering required material with scientific rigour. The tenth edition reflects the exciting new age of genomics, genetic regulatory networks and digital visualization techniques while keeping focus on the major questions of animal development.</t>
  </si>
  <si>
    <t>Biochemistry: A Short Course: International Edition</t>
  </si>
  <si>
    <t>John L. Tymoczko,Jeremy M. Berg,Lubert Stryer</t>
  </si>
  <si>
    <t>Derived from the best-selling classic text originated by Lubert Stryer and continued by John Tymoczko and Jeremy Berg, Biochemistry: A Short Course focuses on the major topics taught in a one-semester biochemistry course. With its short chapters and relevant biological and clinical examples, this text shows biochemistry as a part of students' everyday lives.&amp;nbsp;&amp;nbsp;&amp;nbsp;&amp;nbsp;Offering the same signature writing style and physiological emphasis as the full-length text, this briefer book&amp;nbsp;focuses on the major topics&amp;nbsp;by eliminating details of enzyme mechanisms and organic chemistry, and by removing extraneous and advanced topics. Coverage is broken into short chapters for ease of use.Numerous examples and photos of biochemistry in action show students that biochemistry is part of everything they do and experience. Students learn a biochemical concept, then see how that concept is applied in the real world. Clinical Insights show how our understanding of biochemical concepts influences an aspect of a disease or its cure, and Biological Insights show how simple changes in biochemical processes can have dramatic effects.The Second Edition has been fully updated with coverage of recent developments in biochemistry and human health. New Metabolism in Context sections show how new information on the role of leptins in hunger and satiety has changed the way biochemists think about obesity and diabetes. In addition to diet and obesity, other Metabolism in Context features focus on metabolism and cancer, and metabolism and exercise. &amp;nbsp; The Experimental Techniques chapters (available on the companion website) have also been updated and expanded, exploring important techniques used by biochemists in the past as well as new technologies with which biochemists make discoveries in present-day laboratories. &amp;nbsp; (This title may not be available in all areas. Please contact your representative for more information.)</t>
  </si>
  <si>
    <t>John Krenos,Joseph Potenza</t>
  </si>
  <si>
    <t>The study guide is designed to help students improve their problem-solving skills, avoid common mistakes and understand key concepts. It contains a review of each section's critical ideas followed by worked out examples, try-it-yourself examples and chapter quizzes to reinforce chapter objectives and build problem-solving techniques.</t>
  </si>
  <si>
    <t>Shakespeare's Comedies</t>
  </si>
  <si>
    <t>Kiernan Ryan</t>
  </si>
  <si>
    <t xml:space="preserve">In this groundbreaking book one of the most original and compelling voices in contemporary Shakespeare criticism undertakes a detailed study of the ten extraordinary comedies Shakespeare wrote during his first decade as a dramatist: The Comedy of Errors, The Taming of the Shrew, The Two Gentlemen of Verona, Love's Labour's Lost, A Midsummer Night's Dream, The Merchant of Venice, The Merry Wives of Windsor, Much Ado About Nothing, As You Like It and Twelfth Night. Through close readings of these plays Kiernan Ryan reveals Shakespeare's deepening disenchantment with his world and his dream of that world transfigured. Ryan engages with each comedy as a unique work of dramatic and poetic art, with its own distinctive concerns and critical challenges, paying special attention to its language and form. As the haunting vision shared by the plays emerges from Ryan's acute analysis of each of them, the book transforms our understanding and appreciation of Shakespearean comedy. Written in a lively, accessible style, Shakespeare's Comedies is essential reading not only for students and teachers, but also for anyone keen to consider these plays from a fresh perspective. </t>
  </si>
  <si>
    <t>Learning Development in Higher Education</t>
  </si>
  <si>
    <t>Peter Hartley,John Hilsdon,Christine Keenan,Sandra Sinfield,Michelle Verity</t>
  </si>
  <si>
    <t>This book shows how Learning Development enhances the student experience and promotes active engagement. Written by staff from the UK's largest collaborative Centre for Excellence in Teaching and Learning (CETL), the book includes important insights for everyone interested in supporting student retention, progression and success.</t>
  </si>
  <si>
    <t>The ideal accompaniment to any study of musical theatre, this lively textbook provides a comprehensive overview of the history, theory and practice of this popular theatre form. Bringing critical theory and musical theatre together, Millie Taylor and Dominic Symonds explore the musical stage from a broad range of theoretical perspectives, including narrative theory, orientalism, gender theory and globalization.Focusing on opera as well as musical theatre, Studying Musical Theatre considers dozens of diverse shows from 1607 to the present day. From Monteverdi to Mamma Mia, and from HMS Pinafore to Hedwig, this book offers an accessible and up-to-date guide to musical theatre for students, aficionados and enthusiasts alike.</t>
  </si>
  <si>
    <t>Molecular Cell Biology: International Edition</t>
  </si>
  <si>
    <t>Harvey Lodish,Arnold Berk,Chris A. Kaiser,Monty Krieger,Anthony Bretscher,Hidde Ploegh,Angelika Amon,Matthew P. Scott</t>
  </si>
  <si>
    <t>Molecular Cell Biology presents the key concepts in cell biology and their experimental underpinnings. The authors, all world-class researchers and teachers, incorporate medically relevant examples where appropriate to help illustrate the connections between cell biology and health and human disease. As always, a hallmark of Molecular Cell Biology is the use of experiments to engage students in the history of cell biology and the research that has contributed to the field.New Co-Author, Angelika Amon:The new edition of Molecular Cell Biology introduces a new member to our author team, respected researcher and teacher Angelika Amon of the Massachusetts Institute of Technology. Dr. Amon is an Investigator at the Howard Hughes Medical Institute as well as a member of the Koch Institute for Integrative Cancer Research and the National Academy of Sciences. Her laboratory studies the molecular mechanisms that govern chromosome segregation during mitosis and meiosis and the consequences when these mechanisms fail during normal cell proliferation and cancer development.Increased Clarity, Improved Pedagogy:In the new edition, the authors have scrutinized every chapter with an eye toward bringing out key concepts and making connections easier to follow. Perennially challenging topics, such as cellular energetics, cell signaling and immunology, have been revised to improve student understanding. Coverage of developmental biology has been streamlined to focus on just those key areas central to cell biology courses. Every figure in the book was reconsidered and, if possible, simplified to highlight key lessons. Revised end-of-chapter materials include new questions, including additional Analyze the Data problems to give students added practice at interpreting experimental evidence.The result is a book that balances currency and experimental focus with attention to clarity, organization, and pedagogy.Highlights of the New Edition:- Chapter 1 Molecules, Cells, and Evolution now frames cell biology in the light of evolution: because we all come from the same ancestor cell, the molecules and processes of cell biology are similar in all forms of life. We can use model organisms to study aspects of cell structure and function that have been conserved across millions of years of evolution.- Chapter 9 Culturing, Visualizing, and Perturbing Cells has been rewritten to include cutting edge methods including FRAP, FRET, siRNA, and chemical biology, making it a state-of-the art methods chapter.- Cell signaling chapters (Chapters 15 &amp; 16) have been reorganized and illustrated with simplified overview figures, to help students navigate the complexity of signaling pathways.- Fully Reconceived, Thoroughly Updated Chapter 19 The Eukaryotic Cell Cycle now begins with the concept of "START" (a cell's commitment to entering the cell cycle starting with DNA synthesis) and then progresses through the cycle stages. The chapter focuses on yeast and mammals and uses general names for cell cycle components as much as possible.New Discoveries, Methodologies and Medical Examples:New discoveries, new methodologies and new medical examples are included throughout.</t>
  </si>
  <si>
    <t>Benjamin A. Pierce</t>
  </si>
  <si>
    <t>With Genetics: A Conceptual Approach, Pierce brings a master teacher's experience to the introductory genetics textbook, clarifying this complex subject by focusing on the big picture of genetics concepts. The new edition features an emphasis on problem-solving and relevant applications, while incorporating the latest trends in genetics research.</t>
  </si>
  <si>
    <t>Gregory S. Girolami</t>
  </si>
  <si>
    <t>This is a well-balanced, thorough, and clearly written introduction to the subject. It features excellent illustrations and homework problems throughout, making it invaluable as a textbook. The book progresses in a logical and clear fashion from the fundamentals through to advanced topics, such as disorder, twinning, microfocus sources, low energy electron diffraction, charge flipping, protein crystallography, the maximum likelihood method of refinement, and powder, neutron, and electron diffraction.The author's clear writing style and distinctive approach is well suited for chemists, biologists, materials scientists, physicists, and scientists from related disciplines.It is a great resource for those who are learning the subject for the first time (both advanced undergraduate and graduate students), and for those who have practical experience but seek a handy reference summary.</t>
  </si>
  <si>
    <t>Wolfgang Wessels</t>
  </si>
  <si>
    <t>This systematic assessment of the -often opaque- European Council looks at its characteristics, leaders and output as well as its impact on EU supranational and intergovernmental dynamics. Taking account of historical and contemporary developments up to and beyond the Lisbon Treaty, it encourages in-depth understanding of this key institution.</t>
  </si>
  <si>
    <t xml:space="preserve">Provides the practical help students need to be effective in their history courses. In addition to introducing students to the nature of the discipline, it teaches a wide range of skills from preparing for exams to approaching common writing assignments, and it explains the research and documentation process using numerous examples throughout. </t>
  </si>
  <si>
    <t>Nicholas J. Turro,V. Ramamurthy,Juan Scaiano</t>
  </si>
  <si>
    <t>A complete revision of Turro's classic text, Modern Molecular Photochemistry, which has been the standard of the field for three decades. It presents a clear introduction to organic chemistry and goes on to cover the mechanisms of organic photoreactions and the photochemistry of the basic functional groups of organic chemistry.</t>
  </si>
  <si>
    <t>Julia Twigg</t>
  </si>
  <si>
    <t>Focusing on health and social care, this book shows how important the body can be to a range of issues such as disability, old age, sexuality, consumption, food and public space. Twigg illustrates how constructions of the body affect how we see different social groups and explores the significance of it in the provision and delivery of care.</t>
  </si>
  <si>
    <t>Nursing Research in Context: Appreciation, Application and Professional Development</t>
  </si>
  <si>
    <t>Dawn Freshwater,Veronica Bishop</t>
  </si>
  <si>
    <t>Government policy states that nursing should be a research-based profession. The vision for nursing in the 21st century is for all nurses to seek out and apply evidence in their practice, for an increasing number to be actively participating in research, and for some to become leaders in the field of research. This book will enable student and professional nurses to develop an awareness and appreciation of research, to understand the policy context, and the implications for their own professional development.</t>
  </si>
  <si>
    <t>A Student Handbook for Writing in Biology is an engaging, acessible resource designed to help students obtain the skills and confidence they need to succeed as biologists. Featuring clear and practical advice to students covering the entire paper writing process, from finding primary literature, to writing a laboratory report to presenting findings, this handbook is invaluable for anyone studying biology. The fourth edition has been revised to reflect the latest technological developments, including updated appendices for Microsoft Office 2007 for Windows 7 and Excel for Mac 2011, a section on saving formats for the chart templates provided and an updated section on online backup options to recognise our increased reliance on the Internet.A wealth of online resources are also available to support your teaching; these include a Biology Lab Report Template in Microsoft Word, a Biology Lab Report Checklist, Evaluation Forms for Oral and Poster Presentations and much more.</t>
  </si>
  <si>
    <t>Louis S. Hegedus,Bjorn C. D. Soderberg</t>
  </si>
  <si>
    <t>This texts offers a clear and systematic approach to the formation, manipulation, and reactivity of organometallic complexes. It presents the organic chemistry of transition metals by class of metal complex, with many examples of applications in the synthesis of complex natural products and pharmaceuticals. </t>
  </si>
  <si>
    <t>Michael Foote,Arnold I. Miller</t>
  </si>
  <si>
    <t>Michael Foote and Arnold Miller have stepped in to revise this classic text. It is their vision to take the core approach of the second edition, and reflect the substantial changes to the rudiments of the subject from the previous two decades. This third edition remains an excellent text for those studying geophysical sciences.</t>
  </si>
  <si>
    <t>Mathematical Structures for Computer Science</t>
  </si>
  <si>
    <t>Judith L. Gersting</t>
  </si>
  <si>
    <t>Mathematics</t>
  </si>
  <si>
    <t>The new edition continues to offer a pedagogically rich and intuitive introduction to discrete mathematics structures. Relevant applications are balanced alongside clear presentation of concepts to help students better understand this text, which has been popular amongst professors and their classes for almost twenty-five years.</t>
  </si>
  <si>
    <t>Modern Physics: International Edition</t>
  </si>
  <si>
    <t>Paul A. Tipler,Ralph Llewellyn</t>
  </si>
  <si>
    <t>Tipler and Llewellyn's acclaimed text guides students through the foundations and wide ranging applications of modern physics with the utmost clarity, without sacrificing scientific integrity. With more end-of-chapter problems than any other modern physics text, and a focus on real data and quotations from original papers, this book helps turn students into scientists. The sixth edition has been thoroughly updated with new discoveries and developments in Physics. Recognizing the increasing emphasis of concepts from physics in biology and medicine, applications in those areas are included in new and revised examples. In conjunction with an updated companion website, and fantastically clear art-work, the updates to this book continue to make it an essential undergraduate text.A number of new "Application Notes" have been added to the sixth edition. These brief notes in the margins of many pages point to a few of the many benefits to society that have been made possible by a discovery or development in modern physics.Also new in the sixth edition are the "For You" text boxes. These text boxes highlight current and future research and development activity toward which today's students may consider directing their own career interests.Worked-out examples are included in every chapter, and more than two dozen "Exploring" sections deal with text-related topics that captivate student interest, such as superluminal speed and giant atoms. The text's flexible organization accommodates both one- and two-term courses and allows instructors to vary the applications covered from term to term.</t>
  </si>
  <si>
    <t>Eric V. Anslyn,Dennis A. Dougherty</t>
  </si>
  <si>
    <t>This modern textbook makes explicit the many connections between physical organic chemistry and critical fields such as organometallic chemistry, materials chemistry, bioorganic chemistry, and biochemistry. In the latter part of the twentieth century, the field of physical organic chemistry went through dramatic changes, with an increased emphasis on noncovalent interactions and their roles in molecular recognition, supramolecular chemistry, and biology; the development of new materials with novel structural features; and the use of computational methods. Contemporary chemists must be just as familiar with these newer fields as with the more established classical topics.  Modern Physical Organic Chemistry is intended to bridge that gap. In addition to covering thoroughly the core areas of physical organic chemistry - structure and mechanism - the book will escort the practitioner of organic chemistry into a field that has been thoroughly updated. The foundations and applicabilities of modern computational methods are also developed.</t>
  </si>
  <si>
    <t>Steven H.D. Haddock,Casey W. Dunn</t>
  </si>
  <si>
    <t>Practical Computing for Biologists shows you how to use many freely available computing tools to work more powerfully and effectively. The book was born out of the authors' own experience in developing tools for their research and helping other biologists with their computational problems. Many of the techniques are relevant to molecular bioinformatics but the scope of the book is much broader, covering topics and techniques that are applicable to a range of scientific endeavours.  &amp;nbsp; Twenty-two chapters organized into six parts address the following topics (and more; see Contents):  • Searching with regular expressions • The Unix command line • Python programming and debugging • Creating and editing graphics • Databases • Performing analyses on remote servers • Working with electronics  While the main narrative focuses on Mac OS X, most of the concepts and examples apply to any operating system. Where there are differences for Windows and Linux users, parallel instructions are provided in the margin and in an appendix. The book is designed to be used as a self-guided resource for researchers, a companion book in a course, or as a primary textbook. Practical Computing for Biologists will free you from the most frustrating and time-consuming aspects of data processing so you can focus on the pleasures of scientific inquiry.</t>
  </si>
  <si>
    <t>Calculus: Early Transcendentals</t>
  </si>
  <si>
    <t>Michael Sullivan,Kathleen Miranda</t>
  </si>
  <si>
    <t>Michael Sullivan and Kathleen Miranda have written a contemporary calculus textbook that&amp;nbsp;lecturers will respect and students can use. Consistent in its use of language and notation, Sullivan/Miranda's Calculus helps students learn calculus conceptually, while also emphasizing computational and problem-solving skills.</t>
  </si>
  <si>
    <t>Quantitative Chemical Analysis: International Edition</t>
  </si>
  <si>
    <t>Daniel C. Harris</t>
  </si>
  <si>
    <t>Quantitative Chemical Analysis (QCA) is the bestselling textbook of choice for analytical chemistry. It continues to offer a consistently modern portrait of the tools and techniques of chemical analysis, incorporating real data, spreadsheets, and a wealth of applications. The material is presented in a personable style that engages students without compromising the principles and depth necessary for an extremely thorough and practical understanding. The eighth edition features new coverage of spectroscopy and statistics, to keep the information on these analytical tools completely relevant and up to date. It also has content and application updates throughout, especially in the increasingly important areas of nanotechnology and environmental chemistry. In addition, new pedagogy has been included, particularly new boxed applications and problem-solving questions, as well as enhanced lecturer support. The book also offers a companion website (www.whfreeman.com/qca8e) to aid understanding and learning. It reviews key concepts from the textbook through interactive exercises and learning tools such as online quizzes, experiments, living graphs and supplementary topics for students. It also provides assistance to those teaching from the book with textbook images and Powerpoint slides for use in class.</t>
  </si>
  <si>
    <t>Essentials of General, Organic, and Biochemistry</t>
  </si>
  <si>
    <t>An innovative text from a highly experienced lecturer, this book offers a truly integrated approach to the course. Featuring numerous health applications, examples from clinical practice, and problem-solving support, students have everything they need to learn the fundamentals of chemistry in the context of their future profession.</t>
  </si>
  <si>
    <t>Student Solutions Manual for Modern Physics</t>
  </si>
  <si>
    <t>This book contains solutions to selected problems from each chapter, approximately one-fourth of the more than 800 problems in the book.</t>
  </si>
  <si>
    <t>Laura Taalman,Peter Kohn</t>
  </si>
  <si>
    <t>Taalman and Kohn's Calculus offers a streamlined, structured exposition of calculus combining the clarity of classic textbooks with a modern perspective on concepts, skills, applications, and theory. Its uncluttered design eliminates sidebars, historical biographies, and asides to keep students focused on important foundational concepts.</t>
  </si>
  <si>
    <t>Bailey</t>
  </si>
  <si>
    <t>Country Case Studies</t>
  </si>
  <si>
    <t>2010</t>
  </si>
  <si>
    <t>Banks</t>
  </si>
  <si>
    <t>A Compendium of Financial Definitions, Acronyms, and Colloquialisms</t>
  </si>
  <si>
    <t>2005</t>
  </si>
  <si>
    <t>Bhaumik</t>
  </si>
  <si>
    <t>Structure, Strategy, Governance and Performance</t>
  </si>
  <si>
    <t>2015</t>
  </si>
  <si>
    <t>Cases and Commentary</t>
  </si>
  <si>
    <t>2009</t>
  </si>
  <si>
    <t>Bottiglia</t>
  </si>
  <si>
    <t>Brem</t>
  </si>
  <si>
    <t>Trends in an International Context</t>
  </si>
  <si>
    <t>2013</t>
  </si>
  <si>
    <t>Carrillo-Hermosilla</t>
  </si>
  <si>
    <t>When Sustainability and Competitiveness Shake Hands</t>
  </si>
  <si>
    <t>Cook</t>
  </si>
  <si>
    <t>Encounters with Value in Marketplaces on Five Continents</t>
  </si>
  <si>
    <t>2008</t>
  </si>
  <si>
    <t>Cushman</t>
  </si>
  <si>
    <t>Building Success in Today's Open Economy</t>
  </si>
  <si>
    <t>2014</t>
  </si>
  <si>
    <t>Darroch</t>
  </si>
  <si>
    <t>Dawson</t>
  </si>
  <si>
    <t>Burdens, Challenges and Opportunities</t>
  </si>
  <si>
    <t>De Kare-Silver</t>
  </si>
  <si>
    <t>How the Digital Technology Revolution Is Changing Business and All Our Lives</t>
  </si>
  <si>
    <t>2011</t>
  </si>
  <si>
    <t>Dembinski</t>
  </si>
  <si>
    <t>Financialization at the Crossroads</t>
  </si>
  <si>
    <t>Dunkel</t>
  </si>
  <si>
    <t>New Perspectives on Interactive Service Work</t>
  </si>
  <si>
    <t>Dupuy</t>
  </si>
  <si>
    <t>Towards Simplicity and Trust</t>
  </si>
  <si>
    <t>Dwivedi</t>
  </si>
  <si>
    <t>Integrating Critical Perspectives in Theory and Practice</t>
  </si>
  <si>
    <t>Dépelteau</t>
  </si>
  <si>
    <t>Relations, Networks, and Society</t>
  </si>
  <si>
    <t>Eckrich</t>
  </si>
  <si>
    <t>A Non-Family Employee's Guide to Success</t>
  </si>
  <si>
    <t>Fernández de Guevara Radoselovics</t>
  </si>
  <si>
    <t>Gregoriou</t>
  </si>
  <si>
    <t>2007</t>
  </si>
  <si>
    <t>Kallinikos</t>
  </si>
  <si>
    <t>Information Artefacts and Social Practice</t>
  </si>
  <si>
    <t>Kessler</t>
  </si>
  <si>
    <t>Real-World Lessons for Walking the Talk</t>
  </si>
  <si>
    <t>Khalili</t>
  </si>
  <si>
    <t>From Grounded Theory to Emerging Strategies</t>
  </si>
  <si>
    <t>Klikauer</t>
  </si>
  <si>
    <t>Koskinen</t>
  </si>
  <si>
    <t>Kotlarsky</t>
  </si>
  <si>
    <t>Kotler</t>
  </si>
  <si>
    <t>The A-to-F Model</t>
  </si>
  <si>
    <t>Lacity</t>
  </si>
  <si>
    <t>Studies in Theory and Practice</t>
  </si>
  <si>
    <t>Lal</t>
  </si>
  <si>
    <t>The Textiles and Clothing Industry in Developing Countries</t>
  </si>
  <si>
    <t>Four Necessary Steps to Make Clean Energy the Next Success Story</t>
  </si>
  <si>
    <t>Leach</t>
  </si>
  <si>
    <t>The Life Cycle of Local Authority Chief Executives</t>
  </si>
  <si>
    <t>Leadbeater</t>
  </si>
  <si>
    <t>Creating Change on a Shoestring Budget</t>
  </si>
  <si>
    <t>Lindgren</t>
  </si>
  <si>
    <t>Leadership and Innovation in the Thought Economy</t>
  </si>
  <si>
    <t>2012</t>
  </si>
  <si>
    <t>McKee</t>
  </si>
  <si>
    <t>Power and Change in Health Care Organizations</t>
  </si>
  <si>
    <t>Miyoshi</t>
  </si>
  <si>
    <t>The Automotive Industry</t>
  </si>
  <si>
    <t>Morgan</t>
  </si>
  <si>
    <t>The Day that Changed Everything?</t>
  </si>
  <si>
    <t>Orsato</t>
  </si>
  <si>
    <t>When Does it Pay to be Green?</t>
  </si>
  <si>
    <t>Oshri</t>
  </si>
  <si>
    <t>The Case of Firefox</t>
  </si>
  <si>
    <t>Pasiouras</t>
  </si>
  <si>
    <t>From the Pre-Euro Reforms to the Financial Crisis and Beyond</t>
  </si>
  <si>
    <t>Pinkhasov</t>
  </si>
  <si>
    <t>How Luxury Brands Can Create Value for the Long Term</t>
  </si>
  <si>
    <t>Pollitt</t>
  </si>
  <si>
    <t>Adaptation and Alternatives</t>
  </si>
  <si>
    <t>Robinson-Easley</t>
  </si>
  <si>
    <t>From the Lens of Color</t>
  </si>
  <si>
    <t>Romano</t>
  </si>
  <si>
    <t>The Emergence of the Stakeholder University</t>
  </si>
  <si>
    <t>Moving Hearts and Minds</t>
  </si>
  <si>
    <t>Saarinen</t>
  </si>
  <si>
    <t>Towards an Improved Understanding of Economic Renewal</t>
  </si>
  <si>
    <t>Salacuse</t>
  </si>
  <si>
    <t>Secrets for Everyday Diplomacy and Deal Making</t>
  </si>
  <si>
    <t>Schreyögg</t>
  </si>
  <si>
    <t>Institutions and Organizations</t>
  </si>
  <si>
    <t>Scott</t>
  </si>
  <si>
    <t>Gehlen, Foucault, Deleuze</t>
  </si>
  <si>
    <t>Strange</t>
  </si>
  <si>
    <t>Strategy, Performance and Institutional Change</t>
  </si>
  <si>
    <t>T.</t>
  </si>
  <si>
    <t>Tamminen</t>
  </si>
  <si>
    <t>The Key to Sustainable Profits in the New Economy</t>
  </si>
  <si>
    <t>Thyssen</t>
  </si>
  <si>
    <t>Viedma Marti</t>
  </si>
  <si>
    <t>Intellectual Capital Benchmarking Systems</t>
  </si>
  <si>
    <t>Wankel</t>
  </si>
  <si>
    <t>Other Voices</t>
  </si>
  <si>
    <t>Zsolnai</t>
  </si>
  <si>
    <t>A Vision of the Roles and Duties of Management</t>
  </si>
  <si>
    <t>Berry</t>
  </si>
  <si>
    <t>Code and Mediation in the Digital Age</t>
  </si>
  <si>
    <t>Chow</t>
  </si>
  <si>
    <t>Human Experience of Technological Liveliness</t>
  </si>
  <si>
    <t>Using New Technologies and the Internet to Transform Performance</t>
  </si>
  <si>
    <t>2002</t>
  </si>
  <si>
    <t>Jungnickel</t>
  </si>
  <si>
    <t>Allen-Robertson</t>
  </si>
  <si>
    <t>A History of Digital Distribution</t>
  </si>
  <si>
    <t>Bielsa</t>
  </si>
  <si>
    <t>Brake</t>
  </si>
  <si>
    <t>Risks and Exposure in Social Media</t>
  </si>
  <si>
    <t>Cesari</t>
  </si>
  <si>
    <t>Muslims in Europe and in the United States</t>
  </si>
  <si>
    <t>2004</t>
  </si>
  <si>
    <t>The Persuasive Power of Metaphor</t>
  </si>
  <si>
    <t>Cranny-Francis</t>
  </si>
  <si>
    <t>The Biopolitics of Emerging Technologies</t>
  </si>
  <si>
    <t>Densley</t>
  </si>
  <si>
    <t>An Ethnography of Youth Violence</t>
  </si>
  <si>
    <t>Donders</t>
  </si>
  <si>
    <t>Content, Markets, Policies</t>
  </si>
  <si>
    <t>Donnelly</t>
  </si>
  <si>
    <t>Comparative Perspectives</t>
  </si>
  <si>
    <t>Esser</t>
  </si>
  <si>
    <t>Understanding the Transformation of Western Democracies</t>
  </si>
  <si>
    <t>Forbes</t>
  </si>
  <si>
    <t>Decoding Human Motivation and Transforming Marketing Strategy</t>
  </si>
  <si>
    <t>Hopkins</t>
  </si>
  <si>
    <t>Lacina</t>
  </si>
  <si>
    <t>Issues, Trends and Policies</t>
  </si>
  <si>
    <t>Rethinking Fundamentalism</t>
  </si>
  <si>
    <t>McCarty</t>
  </si>
  <si>
    <t>Nylen</t>
  </si>
  <si>
    <t>Lessons from Brazil</t>
  </si>
  <si>
    <t>2003</t>
  </si>
  <si>
    <t>Perrault</t>
  </si>
  <si>
    <t>From Deficit to Democracy</t>
  </si>
  <si>
    <t>Potts</t>
  </si>
  <si>
    <t>Psychogiopoulou</t>
  </si>
  <si>
    <t>The Challenge for Media Freedom and Independence</t>
  </si>
  <si>
    <t>Ribke</t>
  </si>
  <si>
    <t>Global Patterns of Passage from Media to Politics</t>
  </si>
  <si>
    <t>Cultural Identity and Cultural Policies</t>
  </si>
  <si>
    <t>Schweitzer</t>
  </si>
  <si>
    <t>The Infrastructural Politics of Global Performance</t>
  </si>
  <si>
    <t>Scolari</t>
  </si>
  <si>
    <t>Storytelling in the Borderlines of Science Fiction, Comics and Pulp Magazines</t>
  </si>
  <si>
    <t>White</t>
  </si>
  <si>
    <t>Transforming Economics, Politics and Social Practices</t>
  </si>
  <si>
    <t>Willis</t>
  </si>
  <si>
    <t>Absent Others</t>
  </si>
  <si>
    <t>Wilmer</t>
  </si>
  <si>
    <t>Berberoglu</t>
  </si>
  <si>
    <t>Labor, Capital, and the State on a World Scale</t>
  </si>
  <si>
    <t>Kockel</t>
  </si>
  <si>
    <t>Frontiers, Place Identities and Journeys in Debatable Lands</t>
  </si>
  <si>
    <t>Alexander</t>
  </si>
  <si>
    <t>Law and Public Policy</t>
  </si>
  <si>
    <t>Arestis</t>
  </si>
  <si>
    <t>Ben-Haim</t>
  </si>
  <si>
    <t>An Operational Introduction</t>
  </si>
  <si>
    <t>Cultivating Justice in the Developing World</t>
  </si>
  <si>
    <t>Berkelaar</t>
  </si>
  <si>
    <t>Carayannis</t>
  </si>
  <si>
    <t>Creative Destruction Evolving into 'Mode 3'</t>
  </si>
  <si>
    <t>Carr</t>
  </si>
  <si>
    <t>Globalization's Shoreline and the Road to a Sustainable Future</t>
  </si>
  <si>
    <t>Colombo</t>
  </si>
  <si>
    <t>Theoretical Insights and Empirical Evidence</t>
  </si>
  <si>
    <t>Considine</t>
  </si>
  <si>
    <t>Drabek</t>
  </si>
  <si>
    <t>Critical Essays on the Multilateral Trading System</t>
  </si>
  <si>
    <t>Elliott</t>
  </si>
  <si>
    <t>Opportunities and Limitations</t>
  </si>
  <si>
    <t>Elson</t>
  </si>
  <si>
    <t>The Evolution and Reform of the International Financial Architecture</t>
  </si>
  <si>
    <t>Enoch</t>
  </si>
  <si>
    <t>Endless Boom or Early Warning?</t>
  </si>
  <si>
    <t>Fanelli</t>
  </si>
  <si>
    <t>The Developing World Experience</t>
  </si>
  <si>
    <t>Ferreiro</t>
  </si>
  <si>
    <t>Fitoussi</t>
  </si>
  <si>
    <t>Crisis in the EU Economic Governance Volume 3</t>
  </si>
  <si>
    <t>Guha-Khasnobis</t>
  </si>
  <si>
    <t>Harrigan</t>
  </si>
  <si>
    <t>Harriss</t>
  </si>
  <si>
    <t>The New Local Politics of Democratisation</t>
  </si>
  <si>
    <t>Heal</t>
  </si>
  <si>
    <t>Honkapohja</t>
  </si>
  <si>
    <t>Hoovestal</t>
  </si>
  <si>
    <t>The Economic and Strategic Consequences of the Container</t>
  </si>
  <si>
    <t>Huertas</t>
  </si>
  <si>
    <t>Kakwani</t>
  </si>
  <si>
    <t>Kanth</t>
  </si>
  <si>
    <t>Global Perspectives, Policy, and Prospects</t>
  </si>
  <si>
    <t>Karadeloglou</t>
  </si>
  <si>
    <t>Kornai</t>
  </si>
  <si>
    <t>Kuchiki</t>
  </si>
  <si>
    <t>Upgrading Industrial Clusters in Emerging Economies</t>
  </si>
  <si>
    <t>Lane</t>
  </si>
  <si>
    <t>System Change, Capitalism, or Something Else?</t>
  </si>
  <si>
    <t>Laperche</t>
  </si>
  <si>
    <t>Luedtke</t>
  </si>
  <si>
    <t>Controlling Chaos</t>
  </si>
  <si>
    <t>López G</t>
  </si>
  <si>
    <t>Maatsch</t>
  </si>
  <si>
    <t>Macdonald</t>
  </si>
  <si>
    <t>Martin</t>
  </si>
  <si>
    <t>Mavrotas</t>
  </si>
  <si>
    <t>Core Themes in Global Economics</t>
  </si>
  <si>
    <t>Mayes</t>
  </si>
  <si>
    <t>Mills</t>
  </si>
  <si>
    <t>Nel</t>
  </si>
  <si>
    <t>Patterson</t>
  </si>
  <si>
    <t>Key Concepts and Problems</t>
  </si>
  <si>
    <t>Peláez</t>
  </si>
  <si>
    <t>International Institutions, Finance, the Theory of the State and International Trade</t>
  </si>
  <si>
    <t>Trade Agreements, Inequality, the Environment, Financial Globalization, International Law and Vulnerabilities</t>
  </si>
  <si>
    <t>Theory and Policy after the Credit Crisis</t>
  </si>
  <si>
    <t>Regulation, Trade and Devaluation Wars</t>
  </si>
  <si>
    <t>Programme</t>
  </si>
  <si>
    <t>Beyond Scarcity: Power, Poverty and Global Water Crisis</t>
  </si>
  <si>
    <t>2006</t>
  </si>
  <si>
    <t>Rayman</t>
  </si>
  <si>
    <t>Rittberger</t>
  </si>
  <si>
    <t>Rogers</t>
  </si>
  <si>
    <t>Crisis and Conditionality</t>
  </si>
  <si>
    <t>Simpson</t>
  </si>
  <si>
    <t>Volume II: Remedies and Alternative Theories</t>
  </si>
  <si>
    <t>The EU After the Lisbon Decade</t>
  </si>
  <si>
    <t>The Interaction of Power and Money</t>
  </si>
  <si>
    <t>Solow</t>
  </si>
  <si>
    <t>Inside the Minds of 12 Nobel Laureates</t>
  </si>
  <si>
    <t>Towards a New Global Financial Regime?</t>
  </si>
  <si>
    <t>Townsend</t>
  </si>
  <si>
    <t>Rethinking the Role of Social Security in Development</t>
  </si>
  <si>
    <t>Van Egmond</t>
  </si>
  <si>
    <t>Vavilov</t>
  </si>
  <si>
    <t>An Energy Giant and Its Challenges in Europe</t>
  </si>
  <si>
    <t>Yunker</t>
  </si>
  <si>
    <t>Economic and Political Aspects of Human Progress</t>
  </si>
  <si>
    <t>Zon</t>
  </si>
  <si>
    <t>The Cult of Power</t>
  </si>
  <si>
    <t>Benson</t>
  </si>
  <si>
    <t>Bhandari</t>
  </si>
  <si>
    <t>National Trends and New Directions</t>
  </si>
  <si>
    <t>Block</t>
  </si>
  <si>
    <t>A Religious Perspective on Revitalizing Education</t>
  </si>
  <si>
    <t>Bruce</t>
  </si>
  <si>
    <t>Transformations across Disciplines</t>
  </si>
  <si>
    <t>Coverdale-Jones</t>
  </si>
  <si>
    <t>The Chinese Context</t>
  </si>
  <si>
    <t>Dobbins</t>
  </si>
  <si>
    <t>Convergence towards a Common Model?</t>
  </si>
  <si>
    <t>Enders</t>
  </si>
  <si>
    <t>Analytical and Comparative Perspectives</t>
  </si>
  <si>
    <t>Evas</t>
  </si>
  <si>
    <t>Farrell</t>
  </si>
  <si>
    <t>Listening to Many Voices</t>
  </si>
  <si>
    <t>Gray</t>
  </si>
  <si>
    <t>Culture, Consumerism and Promotion in the ELT Global Coursebook</t>
  </si>
  <si>
    <t>Gregory</t>
  </si>
  <si>
    <t>Harwood</t>
  </si>
  <si>
    <t>Content, Consumption, Production</t>
  </si>
  <si>
    <t>Kubanyiova</t>
  </si>
  <si>
    <t>Understanding Language Teachers' Conceptual Change</t>
  </si>
  <si>
    <t>2016</t>
  </si>
  <si>
    <t>Little</t>
  </si>
  <si>
    <t>Academic Leaders Reflect on American Higher Education</t>
  </si>
  <si>
    <t>Littlemore</t>
  </si>
  <si>
    <t>Lucas</t>
  </si>
  <si>
    <t>A Practical Guide for Academic Beginners</t>
  </si>
  <si>
    <t>Macrine</t>
  </si>
  <si>
    <t>Hope and Possibilities</t>
  </si>
  <si>
    <t>McGlynn</t>
  </si>
  <si>
    <t>Palfreyman</t>
  </si>
  <si>
    <t>Peabody</t>
  </si>
  <si>
    <t>Doubts, Detours, Departures, and Other Success Stories</t>
  </si>
  <si>
    <t>Reese</t>
  </si>
  <si>
    <t>Schmitt</t>
  </si>
  <si>
    <t>A Vocabulary Research Manual</t>
  </si>
  <si>
    <t>Semenza</t>
  </si>
  <si>
    <t>How to Build an Academic Career in the Humanities</t>
  </si>
  <si>
    <t>Storey</t>
  </si>
  <si>
    <t>Applications of Critical Friendship Theory to the EdD</t>
  </si>
  <si>
    <t>Sörlin</t>
  </si>
  <si>
    <t>Knowledge, Power, and Politics</t>
  </si>
  <si>
    <t>Thomas</t>
  </si>
  <si>
    <t>Opportunities for Social Collaboration</t>
  </si>
  <si>
    <t>Philosophies, Approaches, Visions</t>
  </si>
  <si>
    <t>Zembylas</t>
  </si>
  <si>
    <t>van Deursen</t>
  </si>
  <si>
    <t>Unlocking the Information Society</t>
  </si>
  <si>
    <t>Harrison</t>
  </si>
  <si>
    <t>Liberal Capitalism and Climate Change</t>
  </si>
  <si>
    <t>Meharg</t>
  </si>
  <si>
    <t>How Arsenic Caused The World's Worst Mass Poisoning</t>
  </si>
  <si>
    <t>Toke</t>
  </si>
  <si>
    <t>Boscia</t>
  </si>
  <si>
    <t>Chorafas</t>
  </si>
  <si>
    <t>The Credit and Banking Crisis of 2007-2009 and Beyond</t>
  </si>
  <si>
    <t>Farid</t>
  </si>
  <si>
    <t>A Practitioner's Guide to Risk Management</t>
  </si>
  <si>
    <t>Fiordelisi</t>
  </si>
  <si>
    <t>Hieronymi</t>
  </si>
  <si>
    <t>What Happens When Fear Grips Wall Street</t>
  </si>
  <si>
    <t>Bannock</t>
  </si>
  <si>
    <t>Since 1750</t>
  </si>
  <si>
    <t>Culture, Psychoanalysis, and the Past</t>
  </si>
  <si>
    <t>Alexopoulos</t>
  </si>
  <si>
    <t>Sheila Fitzpatrick and Soviet Historiography</t>
  </si>
  <si>
    <t>Badenoch</t>
  </si>
  <si>
    <t>Transnational Infrastructures and the Project of Europe</t>
  </si>
  <si>
    <t>Berghoff</t>
  </si>
  <si>
    <t>Consumerism and Body Aesthetics in the Twentieth Century</t>
  </si>
  <si>
    <t>Conway</t>
  </si>
  <si>
    <t>Historical Approaches</t>
  </si>
  <si>
    <t>Imperial Expositions in Fin-de-Siècle Europe</t>
  </si>
  <si>
    <t>Gillard</t>
  </si>
  <si>
    <t>From Munich to Prague, October 1938 - March 1939</t>
  </si>
  <si>
    <t>Hekma</t>
  </si>
  <si>
    <t>Higham</t>
  </si>
  <si>
    <t>Häusler</t>
  </si>
  <si>
    <t>A Solution to the Antibiotics Crisis?</t>
  </si>
  <si>
    <t>From the mid-19th century to the present day</t>
  </si>
  <si>
    <t>Jensen</t>
  </si>
  <si>
    <t>Perpetrators in Comparative Perspectives</t>
  </si>
  <si>
    <t>Jones</t>
  </si>
  <si>
    <t>A Critical Reconstruction</t>
  </si>
  <si>
    <t>Krüger</t>
  </si>
  <si>
    <t>From the French Revolution to the Second World War</t>
  </si>
  <si>
    <t>Li</t>
  </si>
  <si>
    <t>Animal Rights, Personhood, and the Ethics of Killing</t>
  </si>
  <si>
    <t>Lim</t>
  </si>
  <si>
    <t>Martschukat</t>
  </si>
  <si>
    <t>Maxwell</t>
  </si>
  <si>
    <t>Clothing and Nationalism in Europe’s Age of Revolutions</t>
  </si>
  <si>
    <t>Spain, Yugoslavia, and Greece, 1936-1949</t>
  </si>
  <si>
    <t>Morris</t>
  </si>
  <si>
    <t>Perspectives on the History of the Science Museum</t>
  </si>
  <si>
    <t>Ort</t>
  </si>
  <si>
    <t>Karel Čapek and his Generation, 1911-1938</t>
  </si>
  <si>
    <t>Seidler</t>
  </si>
  <si>
    <t>Cultural Memory and the Reinvention of Authority</t>
  </si>
  <si>
    <t>Spiering</t>
  </si>
  <si>
    <t>Stone</t>
  </si>
  <si>
    <t>Stopes-Roe</t>
  </si>
  <si>
    <t>The Courtship Correspondence of Barnes Wallis, Inventor of the Bouncing Bomb</t>
  </si>
  <si>
    <t>Towheed</t>
  </si>
  <si>
    <t>International Perspectives, c. 1500-1990</t>
  </si>
  <si>
    <t>Towle</t>
  </si>
  <si>
    <t>British Debates from Wilberforce to Blair</t>
  </si>
  <si>
    <t>Weikart</t>
  </si>
  <si>
    <t>The Nazi Pursuit of Evolutionary Progress</t>
  </si>
  <si>
    <t>Wodak</t>
  </si>
  <si>
    <t>Remembering the Wehrmacht's War of Annihilation</t>
  </si>
  <si>
    <t>Zelizer</t>
  </si>
  <si>
    <t>Huffman</t>
  </si>
  <si>
    <t>Philosophical Justifications, Economic Explanations, and the Role of Government</t>
  </si>
  <si>
    <t>NA</t>
  </si>
  <si>
    <t>Addison</t>
  </si>
  <si>
    <t>Poverty, Reconstruction and Growth</t>
  </si>
  <si>
    <t>Albrechtsen</t>
  </si>
  <si>
    <t>Processes and Development</t>
  </si>
  <si>
    <t>Crichton</t>
  </si>
  <si>
    <t>A Multi-Perspectived Analysis</t>
  </si>
  <si>
    <t>Ford</t>
  </si>
  <si>
    <t>Getting and Using Turns in Workplace Meetings</t>
  </si>
  <si>
    <t>Hogan-Brun</t>
  </si>
  <si>
    <t>Frameworks, Status, Prospects</t>
  </si>
  <si>
    <t>Jaworski</t>
  </si>
  <si>
    <t>Language and Global Mobility</t>
  </si>
  <si>
    <t>Langston</t>
  </si>
  <si>
    <t>Ljung</t>
  </si>
  <si>
    <t>Matras</t>
  </si>
  <si>
    <t>Convergence in Historical and Typological Perspective</t>
  </si>
  <si>
    <t>Schmitz</t>
  </si>
  <si>
    <t>Weatherall</t>
  </si>
  <si>
    <t>Applied Deleuze and Guattari</t>
  </si>
  <si>
    <t>Adams</t>
  </si>
  <si>
    <t>Ashton</t>
  </si>
  <si>
    <t>Balaev</t>
  </si>
  <si>
    <t>Belfiore</t>
  </si>
  <si>
    <t>An Intellectual History</t>
  </si>
  <si>
    <t>Bradford</t>
  </si>
  <si>
    <t>Crone</t>
  </si>
  <si>
    <t>Methods, Strategies, Tactics</t>
  </si>
  <si>
    <t>Fimi</t>
  </si>
  <si>
    <t>From Fairies to Hobbits</t>
  </si>
  <si>
    <t>Garrett</t>
  </si>
  <si>
    <t>Gupta</t>
  </si>
  <si>
    <t>Literature in English and the Iraq Invasion</t>
  </si>
  <si>
    <t>Halsey</t>
  </si>
  <si>
    <t>Evidence from the British Isles, c.1750-1950</t>
  </si>
  <si>
    <t>Kelly</t>
  </si>
  <si>
    <t>Capitalist Crisis and the Politics of Recession</t>
  </si>
  <si>
    <t>Manzano</t>
  </si>
  <si>
    <t>Second Edition</t>
  </si>
  <si>
    <t>Robinson</t>
  </si>
  <si>
    <t>A History of Nowhere</t>
  </si>
  <si>
    <t>Tips and Strategies for getting to the top and staying there</t>
  </si>
  <si>
    <t>Seu</t>
  </si>
  <si>
    <t>Human Rights and Everyday Morality</t>
  </si>
  <si>
    <t>Yuill</t>
  </si>
  <si>
    <t>Ahmad</t>
  </si>
  <si>
    <t>Athanassoulis</t>
  </si>
  <si>
    <t>Fortune's Web</t>
  </si>
  <si>
    <t>Austin</t>
  </si>
  <si>
    <t>New Essays in Applied Virtue Ethics</t>
  </si>
  <si>
    <t>Berg Olsen</t>
  </si>
  <si>
    <t>Cochrane</t>
  </si>
  <si>
    <t>Covell</t>
  </si>
  <si>
    <t>A Critical Survey from Vitoria to Hegel</t>
  </si>
  <si>
    <t>Del Mar</t>
  </si>
  <si>
    <t>Dobos</t>
  </si>
  <si>
    <t>Fagan</t>
  </si>
  <si>
    <t>Knowledge in Flesh and Blood</t>
  </si>
  <si>
    <t>Faye</t>
  </si>
  <si>
    <t>On Interpretation, Explanation and Understanding</t>
  </si>
  <si>
    <t>Hansson</t>
  </si>
  <si>
    <t>Ethical Analysis in an Uncertain World</t>
  </si>
  <si>
    <t>Hazlett</t>
  </si>
  <si>
    <t>Hoens</t>
  </si>
  <si>
    <t>Subjectivity, Time and Memory in Contemporary Thought</t>
  </si>
  <si>
    <t>Jeffries</t>
  </si>
  <si>
    <t>Formulating a Field of Study</t>
  </si>
  <si>
    <t>Magnus</t>
  </si>
  <si>
    <t>Maurer</t>
  </si>
  <si>
    <t>What Can We Care For?</t>
  </si>
  <si>
    <t>Oksanen</t>
  </si>
  <si>
    <t>Reviving, Rewilding, Restoring</t>
  </si>
  <si>
    <t>Ollman</t>
  </si>
  <si>
    <t>Limits and Applications in Ethical Theory and Practice</t>
  </si>
  <si>
    <t>Pawling</t>
  </si>
  <si>
    <t>From May 1968 to the Arab Spring</t>
  </si>
  <si>
    <t>Optimizing Educational Life for a Flat World</t>
  </si>
  <si>
    <t>Pignarre</t>
  </si>
  <si>
    <t>Breaking the Spell</t>
  </si>
  <si>
    <t>Ryberg</t>
  </si>
  <si>
    <t>New Perspectives</t>
  </si>
  <si>
    <t>Sawyer</t>
  </si>
  <si>
    <t>Shomali</t>
  </si>
  <si>
    <t>Tallis</t>
  </si>
  <si>
    <t>A Defence of Human Consciousness</t>
  </si>
  <si>
    <t>1999</t>
  </si>
  <si>
    <t>Van Bouwel</t>
  </si>
  <si>
    <t>van der Burg</t>
  </si>
  <si>
    <t>Debating a Concept, Improving the Practice</t>
  </si>
  <si>
    <t>Albert</t>
  </si>
  <si>
    <t>Anceschi</t>
  </si>
  <si>
    <t>Conflict, Dialogue, and Transformation</t>
  </si>
  <si>
    <t>Andréani</t>
  </si>
  <si>
    <t>From Humanitarian Intervention to Counterterrorism</t>
  </si>
  <si>
    <t>Askari</t>
  </si>
  <si>
    <t>Their Fallout and Prevention</t>
  </si>
  <si>
    <t>Azani</t>
  </si>
  <si>
    <t>From Revolution to Institutionalization</t>
  </si>
  <si>
    <t>Baehr</t>
  </si>
  <si>
    <t>Bafoil</t>
  </si>
  <si>
    <t>A Comparison of Political Economies</t>
  </si>
  <si>
    <t>Barton</t>
  </si>
  <si>
    <t>The Peace Process and the Belfast Agreement</t>
  </si>
  <si>
    <t>Baun</t>
  </si>
  <si>
    <t>Beacom</t>
  </si>
  <si>
    <t>The New Mediators</t>
  </si>
  <si>
    <t>Beckman</t>
  </si>
  <si>
    <t>The Right to Vote and its Limits</t>
  </si>
  <si>
    <t>Theory and Practice</t>
  </si>
  <si>
    <t>Bibard</t>
  </si>
  <si>
    <t>An Introduction to a Phenomenology of Sexualities</t>
  </si>
  <si>
    <t>Bickerton</t>
  </si>
  <si>
    <t>From Effectiveness to Functionality</t>
  </si>
  <si>
    <t>Bochel</t>
  </si>
  <si>
    <t>Parliament and the Intelligence Services</t>
  </si>
  <si>
    <t>Bremer</t>
  </si>
  <si>
    <t>Encounters of Faiths</t>
  </si>
  <si>
    <t>Breuning</t>
  </si>
  <si>
    <t>A Comparative Introduction</t>
  </si>
  <si>
    <t>Brigg</t>
  </si>
  <si>
    <t>Responding to Difference</t>
  </si>
  <si>
    <t>Bruneau</t>
  </si>
  <si>
    <t>Bruter</t>
  </si>
  <si>
    <t>An Empirical Geography of the European Extreme Right</t>
  </si>
  <si>
    <t>Bryce</t>
  </si>
  <si>
    <t>Nonprofits as Social Capital and Agents</t>
  </si>
  <si>
    <t>Bufacchi</t>
  </si>
  <si>
    <t>Busby</t>
  </si>
  <si>
    <t>The Demotic Democrat</t>
  </si>
  <si>
    <t>Börzel</t>
  </si>
  <si>
    <t>New Modes of Environmental Governance</t>
  </si>
  <si>
    <t>Constructions and Representations</t>
  </si>
  <si>
    <t>Chaikin</t>
  </si>
  <si>
    <t>A Symbiotic Relationship</t>
  </si>
  <si>
    <t>Chhotray</t>
  </si>
  <si>
    <t>A Cross-Disciplinary Approach</t>
  </si>
  <si>
    <t>Coletti</t>
  </si>
  <si>
    <t>How to Learn from Best Practice</t>
  </si>
  <si>
    <t>Colomer</t>
  </si>
  <si>
    <t>Cooper</t>
  </si>
  <si>
    <t>Between Vulnerability and Resilience</t>
  </si>
  <si>
    <t>Daianu</t>
  </si>
  <si>
    <t>The Political Economy of Further Integration and Governance</t>
  </si>
  <si>
    <t>De Goede</t>
  </si>
  <si>
    <t>Detterbeck</t>
  </si>
  <si>
    <t>The Contribution of International Institutions</t>
  </si>
  <si>
    <t>Dietrich</t>
  </si>
  <si>
    <t>A Cultural Perspective</t>
  </si>
  <si>
    <t>Dorman</t>
  </si>
  <si>
    <t>Dyrhauge</t>
  </si>
  <si>
    <t>On Track?</t>
  </si>
  <si>
    <t>Dyson</t>
  </si>
  <si>
    <t>The Politics of Differentiated Integration</t>
  </si>
  <si>
    <t>Fella</t>
  </si>
  <si>
    <t>Between Europeanisation and National Trajectories</t>
  </si>
  <si>
    <t>Friman</t>
  </si>
  <si>
    <t>Fukushima</t>
  </si>
  <si>
    <t>The Emerging Logic of Multilateralism</t>
  </si>
  <si>
    <t>Gagnon</t>
  </si>
  <si>
    <t>Turns in Contemporary Thought</t>
  </si>
  <si>
    <t>Galasinska</t>
  </si>
  <si>
    <t>Georgakakis</t>
  </si>
  <si>
    <t>Mapping EU Actors and Professionals</t>
  </si>
  <si>
    <t>The Politics of Impact</t>
  </si>
  <si>
    <t>Gould</t>
  </si>
  <si>
    <t>The Truth Behind the Free Market</t>
  </si>
  <si>
    <t>Grube</t>
  </si>
  <si>
    <t>Guerra</t>
  </si>
  <si>
    <t>Hehir</t>
  </si>
  <si>
    <t>Iraq, Darfur and the Record of Global Civil Society</t>
  </si>
  <si>
    <t>Heidbreder</t>
  </si>
  <si>
    <t>The Eastern Touch on Brussels</t>
  </si>
  <si>
    <t>Heller</t>
  </si>
  <si>
    <t>Hill</t>
  </si>
  <si>
    <t>Seeing, Waiting, Travelling</t>
  </si>
  <si>
    <t>Howell</t>
  </si>
  <si>
    <t>Before and After the War on Terror</t>
  </si>
  <si>
    <t>Huberts</t>
  </si>
  <si>
    <t>What it is, What we Know, What is Done and Where to go</t>
  </si>
  <si>
    <t>Héritier</t>
  </si>
  <si>
    <t>Governing in the Shadow of Hierarchy</t>
  </si>
  <si>
    <t>Ikenberry</t>
  </si>
  <si>
    <t>US - Japan Security Partnership in an Era of Change</t>
  </si>
  <si>
    <t>Inayatullah</t>
  </si>
  <si>
    <t>Conversations on Gender, Race, and War</t>
  </si>
  <si>
    <t>Jabri</t>
  </si>
  <si>
    <t>Jacob</t>
  </si>
  <si>
    <t>On International Transitional Administration</t>
  </si>
  <si>
    <t>Jamieson</t>
  </si>
  <si>
    <t>Globalization, Identity and Belonging</t>
  </si>
  <si>
    <t>Jarman</t>
  </si>
  <si>
    <t>Jarvis</t>
  </si>
  <si>
    <t>Discourse, Temporality and the War on Terror</t>
  </si>
  <si>
    <t>Jordan</t>
  </si>
  <si>
    <t>Enhancing Participation?</t>
  </si>
  <si>
    <t>Joseph</t>
  </si>
  <si>
    <t>Kaunert</t>
  </si>
  <si>
    <t>Tackling New Security Challenges in Europe</t>
  </si>
  <si>
    <t>A Comprehensive Analysis beyond CFSP and JHA</t>
  </si>
  <si>
    <t>Kay</t>
  </si>
  <si>
    <t>Crisis, Institutions and Political Economy</t>
  </si>
  <si>
    <t>Kittel</t>
  </si>
  <si>
    <t>Principles and Practices</t>
  </si>
  <si>
    <t>Klotz</t>
  </si>
  <si>
    <t>A Pluralist Guide</t>
  </si>
  <si>
    <t>Koch</t>
  </si>
  <si>
    <t>Paradigms, Prevalence and Policy Responses</t>
  </si>
  <si>
    <t>Kolb</t>
  </si>
  <si>
    <t>Enlightening or Manipulating?</t>
  </si>
  <si>
    <t>Lacroix</t>
  </si>
  <si>
    <t>Laible</t>
  </si>
  <si>
    <t>Party Politics and the Meanings of Statehood in a Supranational Context</t>
  </si>
  <si>
    <t>Laursen</t>
  </si>
  <si>
    <t>From Paris to Lisbon</t>
  </si>
  <si>
    <t>Lizée</t>
  </si>
  <si>
    <t>Reinventing International Studies for the Post-Western World</t>
  </si>
  <si>
    <t>López-Claros</t>
  </si>
  <si>
    <t>Magen</t>
  </si>
  <si>
    <t>American and European Strategies</t>
  </si>
  <si>
    <t>Marquina</t>
  </si>
  <si>
    <t>Prospects and Policies in Asia and Europe</t>
  </si>
  <si>
    <t>Masters</t>
  </si>
  <si>
    <t>Living, Dying, Surviving</t>
  </si>
  <si>
    <t>Mattelaer</t>
  </si>
  <si>
    <t>Planning, Friction, Strategy</t>
  </si>
  <si>
    <t>McInnes</t>
  </si>
  <si>
    <t>Mink</t>
  </si>
  <si>
    <t>Memory Games</t>
  </si>
  <si>
    <t>Moschella</t>
  </si>
  <si>
    <t>The IMF and Global Financial Crises</t>
  </si>
  <si>
    <t>Illusions of Integration</t>
  </si>
  <si>
    <t>Murphy</t>
  </si>
  <si>
    <t>Möller</t>
  </si>
  <si>
    <t>Images, Spectatorship, and the Politics of Violence</t>
  </si>
  <si>
    <t>Nester</t>
  </si>
  <si>
    <t>A Short History of the Modern World</t>
  </si>
  <si>
    <t>Novy</t>
  </si>
  <si>
    <t>National Identity, Mass Media and the Public Sphere</t>
  </si>
  <si>
    <t>Political Campaigns in the United States, Great Britain, and Russia</t>
  </si>
  <si>
    <t>Paupp</t>
  </si>
  <si>
    <t>Crumbling Walls, Rising Regions</t>
  </si>
  <si>
    <t>50 Years of the Treaty of Rome</t>
  </si>
  <si>
    <t>Pope</t>
  </si>
  <si>
    <t>Pullan</t>
  </si>
  <si>
    <t>Ethnicity, Nationalism and the Everyday</t>
  </si>
  <si>
    <t>From Arcana Imperii to WikiLeaks</t>
  </si>
  <si>
    <t>Rai</t>
  </si>
  <si>
    <t>Feminist Perspectives</t>
  </si>
  <si>
    <t>Rappert</t>
  </si>
  <si>
    <t>Governing Threats in the New Millennium</t>
  </si>
  <si>
    <t>Richards</t>
  </si>
  <si>
    <t>The Anatomy of the Global Security Threat</t>
  </si>
  <si>
    <t>Richmond</t>
  </si>
  <si>
    <t>Critical Developments and Approaches</t>
  </si>
  <si>
    <t>Rohrschneider</t>
  </si>
  <si>
    <t>Through the Eyes of the Brussels' Elite</t>
  </si>
  <si>
    <t>Rother</t>
  </si>
  <si>
    <t>A Political Economy Approach</t>
  </si>
  <si>
    <t>Rowe</t>
  </si>
  <si>
    <t>Rowney</t>
  </si>
  <si>
    <t>Officialdom from Alexander III to Vladimir Putin</t>
  </si>
  <si>
    <t>Rye</t>
  </si>
  <si>
    <t>A Theoretical Famework</t>
  </si>
  <si>
    <t>S. Rana</t>
  </si>
  <si>
    <t>Paths to Diplomatic Excellence</t>
  </si>
  <si>
    <t>Sahle</t>
  </si>
  <si>
    <t>Schön-Quinlivan</t>
  </si>
  <si>
    <t>Seib</t>
  </si>
  <si>
    <t>Redirecting U.S. Foreign Policy</t>
  </si>
  <si>
    <t>Politics and Power in the Social Media Era</t>
  </si>
  <si>
    <t>Shields</t>
  </si>
  <si>
    <t>Dialogue, Debate and Dissensus</t>
  </si>
  <si>
    <t>Shiffman</t>
  </si>
  <si>
    <t>Influencing Choices of Leaders</t>
  </si>
  <si>
    <t>Shiraev</t>
  </si>
  <si>
    <t>Internal and External Perspectives on Soviet Society</t>
  </si>
  <si>
    <t>Sim</t>
  </si>
  <si>
    <t>Sloane</t>
  </si>
  <si>
    <t>Sternberg</t>
  </si>
  <si>
    <t>Public Contestation, 1950-2005</t>
  </si>
  <si>
    <t>Stichter</t>
  </si>
  <si>
    <t>Stockmann</t>
  </si>
  <si>
    <t>Towards a Political Economy of the Underground in Global Cities</t>
  </si>
  <si>
    <t>Tan</t>
  </si>
  <si>
    <t>How It Evolved, Why It Failed, and Where It is Headed</t>
  </si>
  <si>
    <t>Telò</t>
  </si>
  <si>
    <t>European Union, Global Governance, World Order</t>
  </si>
  <si>
    <t>Tesser</t>
  </si>
  <si>
    <t>An Interdisciplinary Approach to Security, Memory and Ethnography</t>
  </si>
  <si>
    <t>National Preferences, European Norms and Common Policies</t>
  </si>
  <si>
    <t>Toje</t>
  </si>
  <si>
    <t>After the Post-Cold War</t>
  </si>
  <si>
    <t>Tooze</t>
  </si>
  <si>
    <t>Susan Strange's Writings on International Political Economy</t>
  </si>
  <si>
    <t>Valkama</t>
  </si>
  <si>
    <t>Forms and Governance</t>
  </si>
  <si>
    <t>Van Herpen</t>
  </si>
  <si>
    <t>The Slow Rise of a Radical Right Regime in Russia</t>
  </si>
  <si>
    <t>Van Schaik</t>
  </si>
  <si>
    <t>More than the Sum of its Parts?</t>
  </si>
  <si>
    <t>Verdun</t>
  </si>
  <si>
    <t>Vittori</t>
  </si>
  <si>
    <t>Volgy</t>
  </si>
  <si>
    <t>Global and Regional Perspectives</t>
  </si>
  <si>
    <t>Watanabe</t>
  </si>
  <si>
    <t>European Security in an American Epoch</t>
  </si>
  <si>
    <t>Fighting Terror with Terror</t>
  </si>
  <si>
    <t>Welch</t>
  </si>
  <si>
    <t>Weller</t>
  </si>
  <si>
    <t>Whitman Cobb</t>
  </si>
  <si>
    <t>Success and the Illusion of Failure in Policymaking</t>
  </si>
  <si>
    <t>Whitman</t>
  </si>
  <si>
    <t>Context, Implementation and Impact</t>
  </si>
  <si>
    <t>Empirical and Theoretical Perspectives</t>
  </si>
  <si>
    <t>1998</t>
  </si>
  <si>
    <t>Williams</t>
  </si>
  <si>
    <t>The Czech Republic, Slovakia and Romania</t>
  </si>
  <si>
    <t>2001</t>
  </si>
  <si>
    <t>Wilson</t>
  </si>
  <si>
    <t>Manufacturing Sympathy?</t>
  </si>
  <si>
    <t>Civic Leadership after 9/11</t>
  </si>
  <si>
    <t>de Waele</t>
  </si>
  <si>
    <t>van Munster</t>
  </si>
  <si>
    <t>The Politics of Risk in the EU</t>
  </si>
  <si>
    <t>Østergaard-Nielsen</t>
  </si>
  <si>
    <t>Perceptions, Policies and Transnational Relations</t>
  </si>
  <si>
    <t>Moran</t>
  </si>
  <si>
    <t>Bracher</t>
  </si>
  <si>
    <t>Identity, Generativity, and Social Transformation</t>
  </si>
  <si>
    <t>Sprevak</t>
  </si>
  <si>
    <t>Walsh</t>
  </si>
  <si>
    <t>Grassie</t>
  </si>
  <si>
    <t>Exploring Spirituality from the Outside In and Bottom Up</t>
  </si>
  <si>
    <t>Adeola</t>
  </si>
  <si>
    <t>Local and Global Environmental Struggles</t>
  </si>
  <si>
    <t>Al-Rodhan</t>
  </si>
  <si>
    <t>Implications for Geopolitics, Human Enhancement and Human Destiny</t>
  </si>
  <si>
    <t>Andersen</t>
  </si>
  <si>
    <t>Gender, Class and Citizenship</t>
  </si>
  <si>
    <t>Aradau</t>
  </si>
  <si>
    <t>Politics out of Security</t>
  </si>
  <si>
    <t>Armbruster</t>
  </si>
  <si>
    <t>Borders, Networks, Neighbourhoods</t>
  </si>
  <si>
    <t>Associates)</t>
  </si>
  <si>
    <t>Donor Accountability in Humanitarian Action</t>
  </si>
  <si>
    <t>Avril</t>
  </si>
  <si>
    <t>Bakan</t>
  </si>
  <si>
    <t>Migrant Women in Canada and the Global System</t>
  </si>
  <si>
    <t>Balka</t>
  </si>
  <si>
    <t>Barria</t>
  </si>
  <si>
    <t>A Comparative Study</t>
  </si>
  <si>
    <t>Battersby</t>
  </si>
  <si>
    <t>Global Crime and Security in a Complex World</t>
  </si>
  <si>
    <t>Baumle</t>
  </si>
  <si>
    <t>Lawyers at the Information Age Watercooler</t>
  </si>
  <si>
    <t>Bennett</t>
  </si>
  <si>
    <t>Personal Trajectories in Global Time</t>
  </si>
  <si>
    <t>Theoretical Approaches to Migration and the Quest for a Better Way of Life</t>
  </si>
  <si>
    <t>History, Theory, Alterity</t>
  </si>
  <si>
    <t>Blaug</t>
  </si>
  <si>
    <t>Cognition and Democracy in Organisations</t>
  </si>
  <si>
    <t>Bleiker</t>
  </si>
  <si>
    <t>Evaluating Psychological Change in Dovegate Therapeutic Community</t>
  </si>
  <si>
    <t>Burns</t>
  </si>
  <si>
    <t>Burrage</t>
  </si>
  <si>
    <t>A Comparative Analysis of Russia, France, UK and the US</t>
  </si>
  <si>
    <t>Button</t>
  </si>
  <si>
    <t>Critical Reflections and an Agenda for Change</t>
  </si>
  <si>
    <t>Casanova</t>
  </si>
  <si>
    <t>Cashmore</t>
  </si>
  <si>
    <t>Chatziefstathiou</t>
  </si>
  <si>
    <t>From the Sorbonne 1894 to London 2012</t>
  </si>
  <si>
    <t>Danesi</t>
  </si>
  <si>
    <t>The Birth of Popular Culture</t>
  </si>
  <si>
    <t>Community-Based Social Movements and Global Change in the Americas</t>
  </si>
  <si>
    <t>Medicine, Nursing and the State</t>
  </si>
  <si>
    <t>Drake</t>
  </si>
  <si>
    <t>Duke</t>
  </si>
  <si>
    <t>Einhorn</t>
  </si>
  <si>
    <t>From Dream to Awakening</t>
  </si>
  <si>
    <t>Fahs</t>
  </si>
  <si>
    <t>Fields</t>
  </si>
  <si>
    <t>The Case for Gender as a Protected Class</t>
  </si>
  <si>
    <t>Fraser</t>
  </si>
  <si>
    <t>Beyond the Manifesto</t>
  </si>
  <si>
    <t>Fuentes-Nieva</t>
  </si>
  <si>
    <t>On the Brink</t>
  </si>
  <si>
    <t>Fuller</t>
  </si>
  <si>
    <t>The Impact of Religious and Political Worldviews on Contemporary Science</t>
  </si>
  <si>
    <t>Gailey</t>
  </si>
  <si>
    <t>Weight and Gender Discourse in Contemporary Society</t>
  </si>
  <si>
    <t>Geiger</t>
  </si>
  <si>
    <t>Gill</t>
  </si>
  <si>
    <t>Gillott</t>
  </si>
  <si>
    <t>Gravelle</t>
  </si>
  <si>
    <t>International Lessons from the Field</t>
  </si>
  <si>
    <t>Societies and the Crisis of Globalization</t>
  </si>
  <si>
    <t>Greener</t>
  </si>
  <si>
    <t>Hamblin</t>
  </si>
  <si>
    <t>Policy Convergence and Divergence</t>
  </si>
  <si>
    <t>Globalization, Environment, Resistance</t>
  </si>
  <si>
    <t>Discourses on Domestic Violence and Sexual Assault</t>
  </si>
  <si>
    <t>Herzog</t>
  </si>
  <si>
    <t>Untangling Modernities</t>
  </si>
  <si>
    <t>Ichijo</t>
  </si>
  <si>
    <t>Johnson</t>
  </si>
  <si>
    <t>Well-Being, Institutions and Circumstance</t>
  </si>
  <si>
    <t>Kasabov</t>
  </si>
  <si>
    <t>In Search of the 'Relational Rurals'</t>
  </si>
  <si>
    <t>The Age of Securitization</t>
  </si>
  <si>
    <t>Keating</t>
  </si>
  <si>
    <t>Transcultural Classroom Dialogues</t>
  </si>
  <si>
    <t>Khory</t>
  </si>
  <si>
    <t>Challenges in the Twenty-First Century</t>
  </si>
  <si>
    <t>Kiwan</t>
  </si>
  <si>
    <t>Multicultural and Multi-Nation Societies in International Perspective</t>
  </si>
  <si>
    <t>Kozymka</t>
  </si>
  <si>
    <t>The Role of UNESCO in Sustaining Cultural Diversity</t>
  </si>
  <si>
    <t>Laguerre</t>
  </si>
  <si>
    <t>Martens</t>
  </si>
  <si>
    <t>Merry</t>
  </si>
  <si>
    <t>A Defense of Separation</t>
  </si>
  <si>
    <t>Building the Good Society</t>
  </si>
  <si>
    <t>Miller Cleary</t>
  </si>
  <si>
    <t>Collected Wisdom from Researchers in Social Settings</t>
  </si>
  <si>
    <t>The Politics of (In)Security</t>
  </si>
  <si>
    <t>Mouritsen</t>
  </si>
  <si>
    <t>Political Solutions to Cultural Conflict</t>
  </si>
  <si>
    <t>Booms and Busts in Ireland</t>
  </si>
  <si>
    <t>A Moral Geography</t>
  </si>
  <si>
    <t>Perry</t>
  </si>
  <si>
    <t>An Anthology</t>
  </si>
  <si>
    <t>Development and Inequality</t>
  </si>
  <si>
    <t>Pries</t>
  </si>
  <si>
    <t>Pugh</t>
  </si>
  <si>
    <t>Ralph</t>
  </si>
  <si>
    <t>The Lives of Euro-commuters</t>
  </si>
  <si>
    <t>Richardson</t>
  </si>
  <si>
    <t>How Molecules became Minds</t>
  </si>
  <si>
    <t>Roos</t>
  </si>
  <si>
    <t>Cracks in the Walls of Fortress Europe?</t>
  </si>
  <si>
    <t>Sanger</t>
  </si>
  <si>
    <t>Relations, Exchanges, Affects</t>
  </si>
  <si>
    <t>Cultures of Immigration</t>
  </si>
  <si>
    <t>Skoll</t>
  </si>
  <si>
    <t>Evaluating Justice Systems in Capitalist Societies</t>
  </si>
  <si>
    <t>Staiger</t>
  </si>
  <si>
    <t>Building Sites</t>
  </si>
  <si>
    <t>Starke</t>
  </si>
  <si>
    <t>Explaining the Diversity of Policy Responses to Economic Crisis</t>
  </si>
  <si>
    <t>Stone-Mediatore</t>
  </si>
  <si>
    <t>Storytelling and Knowledges of Resistance</t>
  </si>
  <si>
    <t>Strandsbjerg</t>
  </si>
  <si>
    <t>The Cartographic Reality of Space</t>
  </si>
  <si>
    <t>Strengers</t>
  </si>
  <si>
    <t>Smart Utopia?</t>
  </si>
  <si>
    <t>Sumner</t>
  </si>
  <si>
    <t>Tally Jr.</t>
  </si>
  <si>
    <t>Space, Place, and Mapping in Literary and Cultural Studies</t>
  </si>
  <si>
    <t>Taylor</t>
  </si>
  <si>
    <t>Securing Social and Educational Capital</t>
  </si>
  <si>
    <t>Ullah</t>
  </si>
  <si>
    <t>Death at the Global Frontier</t>
  </si>
  <si>
    <t>Wessendorf</t>
  </si>
  <si>
    <t>Wetherell</t>
  </si>
  <si>
    <t>New Trends in Changing Times</t>
  </si>
  <si>
    <t>Wolfendale</t>
  </si>
  <si>
    <t>Wright</t>
  </si>
  <si>
    <t>della Porta</t>
  </si>
  <si>
    <t>van der Heijden</t>
  </si>
  <si>
    <t>Green Power Europe?</t>
  </si>
  <si>
    <t>Springer</t>
  </si>
  <si>
    <t>Introducing Language Structures</t>
  </si>
  <si>
    <t xml:space="preserve">The Frameworks of English covers everything students and non-specialists need to know about linguistic structures. Kim Ballard describes the morphological, lexical, grammatical and phonological frameworks of contemporary English in a clear and logical way, guiding readers step-by-step through the various levels. Beginning with words as the building blocks of language, Ballard investigates the internal structure of words before moving on to see how words can be combined into larger and larger units, from phrases to sentences and beyond. In addition, three chapters are devoted to the sound system of the language, showing how we produce individual sounds as well as looking at syllable structure, stress and intonation. The second edition of this successful introductory guide: - expands upon certain aspects of the first edition and now includes an extended chapter on discourse - highlights the typical differences between spoken and written language choices at appropriate points throughout the text - features exercises and suggestions for further reading at the end of each Part - contains an enlarged glossary of linguistic terminology to aid study. Also providing plenty of examples and helpful cross-referencing, this is an essential one-volume survey which explores all the frameworks of English and enables readers to understand these fascinating frameworks systematically. </t>
  </si>
  <si>
    <t>Languages and Reference</t>
  </si>
  <si>
    <t>The Scientific Rivalry That Created the Nuclear Age</t>
  </si>
  <si>
    <t xml:space="preserve">Uranium, a nondescript element when found in nature, in the past century has become more sought after than gold. Its nucleus is so heavy that it is highly unstable and radioactive. If broken apart, it unleashes the tremendous power within the atom - the most controversial type of energy ever discovered. Set against the darkening shadow of World War II, Amir D. Aczel's suspenseful account tells the story of the fierce competition among the day's top scientists to harness nuclear power. The intensely driven Marie Curie identified radioactivity. The University of Berlin team of Otto Hahn and Lise Meitner - he an upright, politically conservative German chemist and she a soft-spoken Austrian Jewish theoretical physicist - achieved the most spectacular discoveries in fission. Curie's daughter, Irene Joliot-Curie, raced against Meitner and Hahn to break the secret of the splitting of the atom. As the war raged, Niels Bohr, a founder of modern physics, had a dramatic meeting with Werner Heisenberg, the German physicist in charge of the Nazi project to beat the Allies to the bomb. And finally, in 1942, Enrico Fermi, a prodigy from Rome who had fled the war to the United States, unleashed the first nuclear chain reaction in a racquetball court at the University of Chicago. At a time when the world is again confronted with the perils of nuclear armament, Amir D. Aczel's absorbing story of a rivalry that changed the course of history is as thrilling and suspenseful as it is scientifically revelatory and newsworthy. </t>
  </si>
  <si>
    <t>History</t>
  </si>
  <si>
    <t xml:space="preserve">In recent years neuroscientists have uncovered the countless ways our brain trips us up in day-to-day life, from its propensity toward irrational thought to how our intuitions deceive us. The latest research on sleep, however, points in the opposite direction. Where old wives tales have long advised to "sleep on a problem," today scientists are discovering the truth behind these folk sayings,and how the busy brain radically improves our minds through sleep and dreams. In The Secret World of Sleep, neuroscientist Penny Lewisexplores the latest research intothe nighttime brain to understand the real benefits of sleep. She shows how, while our body rests, the brain practices tasks it learned during the day, replays traumatic events to mollify them, and forges connections between distant concepts. By understanding the roles that the nocturnal brain plays in our waking life, we can improve the relationship between the two, and even boost creativity and become smarter. This is a fascinating exploration of one of the most surprising corners of neuroscience that shows how science may be able to harness the power of sleep to improve learning, health, and more. </t>
  </si>
  <si>
    <t>Medicine and Health</t>
  </si>
  <si>
    <t xml:space="preserve">Despite billions of dollars of aid and the best efforts of the international community to improve economies and bolster democracy across Africa, violent dictatorships persist. As a result, millions have died, economies are in shambles, and whole states are on the brink of collapse. Political observers and policymakers are starting to believe that economic aid is not the key to saving Africa. So what does the continent need to do to throw off the shackles of militant rule? African policy expert George Ayittey argues that before Africa can prosper, she must be free. Taking a hard look at the fight against dictatorships around the world, from Ukraine's orange revolution in 2004 to Iran's Green Revolution last year, he examines what strategies worked in the struggle to establish democracy through revolution. Ayittey also offers strategies for the West to help Africa in her quest for freedom, including smarter sanctions and establishing fellowships for African students. </t>
  </si>
  <si>
    <t>Thorium, the Green Energy Source for the Future</t>
  </si>
  <si>
    <t>In this groundbreaking account of an energy revolution in the making, award-winning science writer Richard Martin introduces us to thorium, a radioactive element and alternative nuclear fuel that is far safer, cleaner, and more abundant than uranium. At the dawn of the Atomic Age, thorium and uranium seemed to be in close competition as the fuel of the future. Uranium, with its ability to undergo fission and produce explosive material for atomic weapons, won out over its more pacific sister element, relegating thorium to the dustbin of science. Now, as we grapple with the perils of nuclear energy and rogue atomic weapons, and mankind confronts the specter of global climate change, thorium isreemerging as the overlooked energy source that can wean us off our fossil-fuel addiction and avert the risk of nuclear meltdown. The Untold Story of Thorium: *Thorium-powered reactors produce zero nuclear waste and can produce electricity that's much cheaper and cleaner than burning coal. *Thorium can't be used in nuclear weapons. *Thorium power was developed in the U.S. during the Cold War, and we even ran a thorium-fueled reactor for five years. *France, Norway, Canada, Brazil, Russia, and, most importantly, India and China, are building thoriumbased reactors. India plans to produce the bulk of its power from thorium reactors by 2030, while China is attempting to build a domestic industry that will license thorium technology to other nations. *A small group of activists and outsiders is working, with the help of Silicon Valley investors, to build a thorium-power industry in the United States.</t>
  </si>
  <si>
    <t>Preparing for Practice</t>
  </si>
  <si>
    <t xml:space="preserve">Social work is a challenging yet rewarding career. It involves dealing with a range of people and situations and requires knowledge, skill and a commitment to important professional values. This well-written book, from one of social work's most highly respected authors, provides an informative and thought-provoking introduction to what it is to be a successful social worker. Focusing on the challenges of achieving good practice, this new edition incorporates extensive updates. It reflects recent developments in social work within the context of contemporary society, law and policy. It also features a wide variety of practice examples and new 'Voice of Experience' quotes, giving readers an exciting insight into the job of today's practitioners. Described as a 'must-have' by current students, this popular text continues to offer an excellent foundation for readers considering a career in social work; students in the early stages of training; and anyone wanting a better understanding of the social work role. </t>
  </si>
  <si>
    <t xml:space="preserve">"Contemporary Russia" provides a readable and accessible introduction to Russia's politics, economics, and society focusing especially on the Putin legacy and Medvedev's presidency. Present developments are set in the historical context of the events and trends of Russia's first post-Soviet decade and of the country's changing place in the world. </t>
  </si>
  <si>
    <t xml:space="preserve">This accessible, student-friendly text provides a course in Physics. Assuming no prior knowledge and focusing on the basics, the text offers ways into the core aspects of the subject. This 3rd edition includes new sections on fluid flow and wave mechanics, with a thoroughly updated companion website. </t>
  </si>
  <si>
    <t xml:space="preserve">Genuinely international in scope and drawing on a wide range of examples from around the world, this important new text provides an accessible introduction to the key elements of foreign policy analysis. Analyzing Foreign Policy examines the wide range of factors that explain why states and other actors behave in the way they do. Showing how theory can illuminate practice, Derek Beach explores how different theoretical approaches - including structural realism, liberalism and constructivism - can be applied to deepen our understanding of events and actions. The book covers all aspects of the policy process - from what states want and how decisions are made through to what states actually do across security, economic and diplomatic policies. Derek Beach also assesses whether we are witnessing a fundamental shift in the nature of foreign policy as a result of globalization and the rise of new non-state actors. The concluding chapter introduces readers to the various research methods available for the study of foreign policy. Engagingly written, this text is the ideal starting point for all who wish to understand and explain the drivers of contemporary foreign policy. </t>
  </si>
  <si>
    <t xml:space="preserve">Applied Econometrics' takes an intuitive, hands-on approach to presenting modern econometrics. Wide-ranging yet compact, the book features extensive software integration and contains empirical applications throughout. It provides step-by-step guidelines for all econometric tests and methods of estimation, and also provides interpretations of the results. The second edition of this popular book features expanded topical coverage, more coverage of fundamental concepts for students new to the subject or requiring a 'refresher', integrated finance applications throughout, as well as the addition of Stata to the software coverage (already featuring EViews and Microfit). New chapters include: Limited Dependent Variable Regression Models Identification in Standard and Cointegrated Systems Solving Models This is an ideal book for undergraduate and master's economics or finance students taking a first course in applied econometrics. A companion website for this book is available at www.palgrave.com/economics/asteriou2 which contains: data files for students PowerPoint slides for lecturers </t>
  </si>
  <si>
    <t>A Concise Introduction</t>
  </si>
  <si>
    <t>Understanding the European Union</t>
  </si>
  <si>
    <t xml:space="preserve">With 27 member states and nearly half a billion residents, the European Union is a major actor on the world stage. It has changed the way Europeans live, as well as the way the rest of the world relates to Europe. Yet it remains widely misunderstood and a source of puzzlement to many: * How does the EU work, and what impact has it had on the lives of Europeans? * What difference has it made to the meaning of 'Europe'? * How has it changed the role of Europe in the world? Written for anyone who needs a short and clear introduction to the EU, John McCormick's best-selling text provides a concise yet broad-ranging survey of how the EU works. It covers the history and institutions of the EU; the underlying principles of European integration; the impact of the EU on its member states and citizens; and the evolution and effect of EU policies. Fully revised, the new fifth edition brings the European story up to date with assessments of the Lisbon Treaty, the fallout from the global economic crisis, and the eurozone crises of 2010-2011. </t>
  </si>
  <si>
    <t>Constitutional and Administrative Law + Core Statutes 2011-12 Value Pack</t>
  </si>
  <si>
    <t>Multimedia Item</t>
  </si>
  <si>
    <t xml:space="preserve">These titles are ideal to use alongside each other, providing a comprehensive introduction to the basic legal principles of the UK constitution as well as the essential statutory materials required to fully understand this subject. </t>
  </si>
  <si>
    <t>What Everyone Else Can Learn From the Innovation Capital of the World</t>
  </si>
  <si>
    <t xml:space="preserve">While the global economy languishes, one place just keeps growing despite failing banks, uncertain markets, and high unemployment: Silicon Valley. In the last two years, more than 100 incubators have popped up there, and the number of angel investors has skyrocketed. Today, 40 percent of all venture capital investments in the United States come from Silicon Valley firms, compared to 10 percent from New York.In Secrets of Silicon Valley, entrepreneur and media commentator Deborah Perry Piscione takes us inside this vibrant ecosystem where meritocracy rules the day.She explores Silicon Valley's exceptionally risk-tolerant culture, and why it thrives despite the many laws that make California one of the worst states in the union for business. Drawing on interviews with investors, entrepreneurs, and community leaders, as well as a host of case studies from Google to Tesla to Paypal, Piscione argues that Silicon Valley's unique culture is the best hope for the future of American prosperity and the global business community and offers lessons from the Valley to inspire reform in other communities and industries, from Washington, DC to Wall Street. </t>
  </si>
  <si>
    <t>Containing Its Spread on the Internet</t>
  </si>
  <si>
    <t xml:space="preserve">Emboldened by anonymity, individuals and organizations from both left and right are freely spewing hateful vitriol on the Internet without worrying about repercussions.Lies, bullying, conspiracy theories, bigoted and racist rants, and calls for violence targeting the most vulnerable circulate openly on the web.And thanks to the guarantees of the First Amendment and the borderless nature of the Internet,governing bodies are largely helpless to control this massive assault on human dignity and safety. Abe Foxman and Christopher Wolf expose the threat that this unregulated flow of bigotry poses to the world.They explore how social media companies like Facebook and YouTube, as well as search engine giant Google, are struggling to reconcile the demands of business with freedom of speech and the disturbing threat posed by today's purveyors of hate. And they explain the best tools available to citizens, parents, educators, law enforcement officers, and policy makers toprotect thetwin values of transparency and responsibility. As Foxman and Wolf show, only an aroused and engaged citizenry can stop the hate contagion before it spirals out of control - with potentially disastrous results. </t>
  </si>
  <si>
    <t>How Advances in Biomedicine Will Transform the Global Economy</t>
  </si>
  <si>
    <t xml:space="preserve">Over the past 20 years, the biomedical research community has been delivering hundreds of breakthroughs expected to extend human lifespan beyond thresholds imaginable today. However, much of this research has not yet been adopted into clinical practice, nor has it been widely publicized. Biomedicine will transform our society forever by allowing people to live longer and to continue working and contributing financially to the economy longer, rather than entering into retirement and draining the economy through pensions and senior healthcare. Old age will become a concept of the past, breakthroughs in regenerative medicine will continue, and an unprecedented boom to the global economy, with an influx of older able-bodied workers and consumers, will be a reality. A leading expert in aging research, author Alex Zhavoronkov provides a helicopter view on the progress science has already made, from repairing tissue damage to growing functional organs from a single cell, and illuminates the possibilities that the scientific and medical community will soon make into realities. The Ageless Generation is an engaging work that causes us to rethink our ideas of age and ability in the modern world. </t>
  </si>
  <si>
    <t>Biotechnology</t>
  </si>
  <si>
    <t>How Strong Brands Make More Money</t>
  </si>
  <si>
    <t xml:space="preserve">Why do consumers pay a premium price for a brand? Is it better quality, the look and feel, or is it the brand's social standing? Author Nigel Hollis believes the answer to all those questions is "yes." Yet the vast majority of brands today trade on past equity and transient buzz. And marketers focus on plan execution rather than creating meaningful differentiation rooted in the brand experience. This lack of meaning is creating a market full of commodities rather than products that instill loyalty. But loyalty (i.e., repeat business) is the key to long term success, and that requires focusing on meaningful differentiation: functional, emotional, or societal. Here, brand expert Nigel Hollis focuses on the four components of a meaningfully different brand: purpose, delivery, resonance, and difference.This unique model will be applied to two very different brand models: premium priced and value priced. The models will show readers how to amplify what their brand stands for across all the brand touch points including: findability, affordability, credibility, vitality, and extendibility. The book will include cases of global brands such as Dysor, Johnny Walker, Geico, Volkswagen, and more. </t>
  </si>
  <si>
    <t>67 Gems of Business Wisdom</t>
  </si>
  <si>
    <t xml:space="preserve">In this new collection of articles on talent acquisition and retention, Adrian Furnham, author of The Elephant in the Boardroom , offers an engaging and witty look into the world of the talented manager. Based on solid research this book offers a substantial introduction to the importance of talent in the workplace. </t>
  </si>
  <si>
    <t>Technology and Humanity in Symbiosis</t>
  </si>
  <si>
    <t xml:space="preserve">A Managerial Philosophy of Technology offers a unique combination of a review of academic work in the philosophy of technology with practical methodologies for business management of technology strategy. It is thus conceptual and practical, academic and managerial. The author develops a radical new systems network concept which shows how the symbiosis between humanity and technology is mediated through science, the economy, productivity, and social structure. It will be of interest to academics, technology management professionals, and science policy makers. </t>
  </si>
  <si>
    <t xml:space="preserve">This text brings together a range of specially-commissioned chapters to provide an accessible introduction to Security Studies in the Twenty-first century. The second edition has been expanded to cover developments in global and regional security; nuclear proliferation; terrorism; intervention and peacekeeping and includes eight entirely new chapters. </t>
  </si>
  <si>
    <t>Building an Entrepreneurial Organisation</t>
  </si>
  <si>
    <t xml:space="preserve">This book offers an innovative look at the entrepreneurial advantage and how it can be harnessed and replicated within organizations, transforming them into market leaders. It is a UK authored Corporate Entrepreneurship textbook, authored by Paul Burns, Dean of Bedfordshire Business School and author of one of the bestselling core entrepreneurship textbooks. It includes real world case studies and quotations from entrepreneurial managers, strong pedagogy, step-by-step Corporate Entrepreneurship Audit, links to further reading and additional resources, and a companion website which provides additional resources for students and lecturers.The secret to sustainable competitive advantage for large organizations in the changing business environment is not simply lowering costs or restructuring for efficiency. Companies need to be adaptable, flexible, speedy, creative, innovative and opportunistic. In short, they need to act in an entrepreneurial manner. </t>
  </si>
  <si>
    <t xml:space="preserve">"Political Hystories" focuses on the nature of private and public, national and international, colonial and postcolonial pasts and histories as they are and have been written by women novelists, journalists, political activists, and autobiographers. It asks what kind of theorized view of personal-and-political, ethnic, class-related, and (inter)national history women authors offer. This book examines the work of a range of women writers from varied backgrounds and explores the multiple perspectives from which they (re)create and (de)construct a feminist political history. </t>
  </si>
  <si>
    <t xml:space="preserve">"Professional Writing" offers a comprehensive interdisciplinary introduction to professional writing for different media, synthesizing methods and ideas developed in linguistics, journalism, public relations and marketing. It provides students with the ability to understand, construct and manipulate written information in a way that is directly transferable to a wide variety of professional situations. Thoroughly revised and updated throughout, the second edition contains a new chapter on teamwork, a section on plagiarism and additional content on digital writing to better reflect the impact this has had on professional writing. </t>
  </si>
  <si>
    <t xml:space="preserve">This successful textbook gives students a thorough grounding in the basics of sentence structure and acquaints them with the essentials of syntactic argument. Now updated and expanded, the third edition features an additional chapter on grammatical indeterminacy, a case study on subordinating conjunctions and prepositions, and new exercises. </t>
  </si>
  <si>
    <t>Issues and Challenges</t>
  </si>
  <si>
    <t xml:space="preserve">This book presents a comprehensive overview of the major themes and issues in international development. It gives a broad-ranging new introduction to the theory, practice and study of development. It is written by leading authors in their fields.Designed to replace "Key Issues in Development", this text provides a critical interdisciplinary introduction to the theory, practice and study of development and to such key challenges in the twenty-first century as securitization and attempts to address global warming. </t>
  </si>
  <si>
    <t xml:space="preserve">A fresh, new text introducing the key issues that shape the nature of the international system and global politics in the 21st Century. Suitable for students on introductory courses considering the substance of IR and global politics, this is a major title. The book offers a modern approach to the subject of world politics and covers an increased number of issues, such as the financial crises and migration, in order to reflect the expansion of course curricula in recent years. With contributions from a team of leading international scholars this is a dynamic yet focussed text designed to spark interest and understanding. </t>
  </si>
  <si>
    <t>The Technology That Will Change Our Lives</t>
  </si>
  <si>
    <t xml:space="preserve">Experts agree that we are entering the Golden Age of Medicine, when our everyday experience of being ill and getting better will be more like science fiction than today's routine trip to the doctor. Bill Hanson, director of the surgical intensive care unit at the University of Pennsylvania Medical Center and an inventor of medical technology, offers true-life and intensely intimate stories about the way biotechnology is changing people's lives. * An electronic nose that detects infection, such as pneumonia, based on a person's breath * Robots with appendages that can feel their way around tissue, which will augment the hands of surgeons in the operating room * Computer health wizards that will advise and prescribe through your home computer * Computerized psychotherapists dispensing advice about emotional problems * Telehealth software that serves as a monitoring nurse for difficult to manage chronic illnesses such as diabetes. * Wheelchairs operated by reading electrical brainwaves for patients with severe neurological deterioration. Bill Hanson describes the human genius that arrived at these amazing discoveries, and how innovators are working to take these feats to an even more technologically advanced level. And more importantly, he discusses what the human experience will be and how we can prepare ourselves for the moral and ethical challenges that these awesome changes will bring. This riveting and startling account will make us revise our expectations of our own mortality. </t>
  </si>
  <si>
    <t>How to Teach Academic Writing and Reading</t>
  </si>
  <si>
    <t>German Foreign Policy in Transformation</t>
  </si>
  <si>
    <t>Uncovering EAP</t>
  </si>
  <si>
    <t xml:space="preserve">Uncovering EAP is valuable, practical companion for any teachers involved in teaching English Academic Purposes (EAP), including preparing students for IELTS examinations. It explains the process involved in teaching academic writing and reading, and explores how to help students develop the study skills they need for academic success. Contains practical teaching tips, activities and worksheets that can be put to use in classrooms Learn from real-life stories of common problems encountered by EAP teachers and see how these may be tackled Equally useful for newly qualified and more experienced EAP teachers </t>
  </si>
  <si>
    <t>This is an examination of the public and academic debates surrounding nuclear strategy focusing on the USA. The author offers a detailed and critical history of attempts to construct a plausible nuclear strategy. This edition has been updated to include policy developments in the 1980s.</t>
  </si>
  <si>
    <t>A Critical Introduction</t>
  </si>
  <si>
    <t xml:space="preserve">This text is designed to help the reader make informed judgements about appropriate research strategies and the credibility of particular pieces of research. Introductory in pitch and grounded in extensive real life examples, it explores the assumptions behind the main methods of data collection and analysis and the ways in which methods shape findings. Key terms are explained in plain English, activities offer opportunities for readers to test and extend their understanding, and each chapter ends with recommendations for further reading. The wealth of illustrative research examples should appeal to students across a range of academic and applied social and health science programmes. </t>
  </si>
  <si>
    <t xml:space="preserve">This is an introduction to, and interpretation and reassessment of, the nature of foreign policy in the light of changing political conditions, international and domestic. It argues that despite the forces of globalization foreign policy is an essential part of the life of any state and a focal point for both political agency and democratic accountability. </t>
  </si>
  <si>
    <t>Foundation Studies for Nurses Using Enquiry Based Learning</t>
  </si>
  <si>
    <t xml:space="preserve">Enquiry Based Learning (EBL) is an influential approach to nurse education which uses real client experiences as the focus for learning. This textbook aims to equip readers with the necessary foundations on which to build their own nursing practice, and covers all core areas of the curriculum, including all four branches, primary care and midwifery. Each chapter is based around a case history scenario, featuring the appropriate basic biological, psychosocial and nursing background information, that ties this directly to the case history, provides further resources, and enables students to link theory with practice. </t>
  </si>
  <si>
    <t>A Rising Middle Power</t>
  </si>
  <si>
    <t xml:space="preserve">This is a comprehensive analysis of post-Cold War German foreign policy as it adjusted to the fundamental shift in the structure of world politics after 1989. It examines changes in German foreign policy in three crucial arenas: military missions abroad, European integration, and NATO enlargement. It asks: how did Germany react to large scale change in the international environment? Has Germany changed, and is this change likely to continue? Max Otte contends that Germany is on its way to becoming a normal power, emerging as a low key leader and legitimate power broker which the United States should welcome. </t>
  </si>
  <si>
    <t xml:space="preserve">A comprehensive survey of the fundamentals of ecology. The fundamentals are illustrated by examples, many involving quantitative aspects. </t>
  </si>
  <si>
    <t xml:space="preserve">Thoroughly updated, the fourth edition contains: up-to-date photographs and discoveries including - Hubble Space Telescope images, including central star of NGC 2440; discoveries about Venus and Magellan; and the latest on solar neutrinos, including results from GALLEX and SAGE. Each chapter now repeatedly summarizes and reviews the main ideas, with the inclusion of supercomputer simulations of events, for example, chapter 10 has a simulation of the formation of Mercury. </t>
  </si>
  <si>
    <t xml:space="preserve">The manual contains laboratory experiments written specifically for the prep-chem lab, as well as for the general chemistry course. Labs include post-lab exercises that reinforce the skills and chemical concepts learned during the experiments. </t>
  </si>
  <si>
    <t>Chemistry</t>
  </si>
  <si>
    <t>This highly anticipated new introductory psychology textbook takes a fresh approach to the teaching of psychology by focusing on 'mind bugs' - foibles of the mind that are intrinsically fascinating and provide fundamental insights into how the mind works. KEY FEATURES AND BENEFITS * Key team of authors who are well known in the field * Highly readable introduction to the field * Integration of neuroscience throughout the book * Focus on 'Mind Bugs', highlighted throughout the text with examples and case studies * Contemporary and thorough research throughout * Great pedagogy including special topic boxes, chapter opening vignettes, hot science boxes, real world applications, summary points, margin glossary, chapter reviews with key terms and recommended readings.</t>
  </si>
  <si>
    <t xml:space="preserve">A bestselling life span textbook by a respected author with a distinctive passionate and engaging voice. The seventh edition comes with significant revision of cognitive development throughout childhood, revised and updated chapters on adolescence, and more attention to emerging and early adulthood. It is a thorough revision with new research on everything from genetics to the timing of puberty, including brain development, life span disorders and cultural diversity. It also includes new learning features promoting critical thinking, revision and application. </t>
  </si>
  <si>
    <t>Biochemistry</t>
  </si>
  <si>
    <t xml:space="preserve">In the new edition of Biochemistry, instructors will see the all the hallmark features that made this a consistent bestseller for the undergraduate biochemistry course: exceptional clarity and concision, a more biological focus, cutting-edge content, and an elegant, uncluttered design. Accomplished in both the classroom and the laboratory, coauthors Jeremy Berg and John Tymoczko draw on the field's dynamic research to illustrate its fundamental ideas. The 6th edition features new chapters, a strong emphasis on biological relevance and new tools for molecular visualisation. </t>
  </si>
  <si>
    <t>Universe Plus CD-ROM</t>
  </si>
  <si>
    <t>What astronomers know about our universe changes every day. For the past twenty years, Universe has been the most thrilling way to communicate the excitement of discovery in astronomy, to students of all scientific backgrounds. The new edition of Universe gives students the means to explore like never before. In addition to covering all the top discoveries, the text contains spectacular images, captivating writing, and a media and supplements package that guides students on a fascinating journey around the cosmos and back again.</t>
  </si>
  <si>
    <t xml:space="preserve">David S. Moore's name has come to stand for exceptional clarity and innovation within statistics textbooks, praised by students and instructors worldwide. The fourth edition of "The Basic Practice of Statistics" continues this trend by excelling both in presentation, features and pedagogy. A new 4-step process gives students the tools to solve complex problems and relate them to the real world. This fourth edition contains a CD-ROM and is also complemented by StatsPortal, one of the most advanced web-based supplements currently available. </t>
  </si>
  <si>
    <t>The classic introductory text offers a balanced survey of Ecology. It is best known for its vivid examples from natural history, comprehensive coverage of evolution and quantitative approach. Due to popular demand, the fifth edition update brings twenty new data analysis modules that introduce students to ecological data and quantitative methods used by ecologists.</t>
  </si>
  <si>
    <t>Miniscale and Standard Taper Microscale</t>
  </si>
  <si>
    <t xml:space="preserve">"Modern Projects and Experiments in Organic Chemistry" helps instructors turn their organic chemistry laboratories into places of discovery and critical thinking. In addition to traditional experiments, the manual offers a variety of inquiry based experiments and multi week projects, giving students a better understanding of how lab work is actually accomplished. Instead of simply following directions, students learn how to investigate the experimental process itself. There are two versions of the manual, each tailored to specific laboratory equipment. In terms of content they are identical: "Miniscale and Standard Taper Microscale" (0716797798) and "Miniscale and Williamson Microscal" (0716739216). Upgraded from "Experimental Organic Chemistry", features include: custom publishing option (instructors can devise the lab manual they want); eight new inquiry based experiments which increase the manual's overall emphasis on active learning; five new multi week projects; five new first term projects (there are now nine for each term) which make it possible for instructors to plan an entire course around the project approach; and new pre-lab and post-lab questions. </t>
  </si>
  <si>
    <t xml:space="preserve">First published in 1976, "Introduction to Genetic Analysis" set the standard for introducing students to genetic analysis and quickly established itself as the premier book in the market. The authors span the breadth of contemporary genetics, bringing a wealth of experience from the world's leading research laboratories. To help students understand the essentials of genetics, the authors vividly recreate the landmark experiments, teach them how to analyze data, and how to draw their own conclusions. </t>
  </si>
  <si>
    <t xml:space="preserve">The international economy has seen a great deal of change over recent years, and there is much talk in the media of the impact of emerging markets such as India and China. Giving a new perspective on International Economics in the age of globalisation, this engaging text addresses economics with a whole-world perspective, including developing countries and puts emphasis on empirical study. With its many examples pulled from today's headlines, Feenstra/Taylor will be the ideal book for instructors looking for a fresh, up-to-date approach to international economics. KEY FEATURES * Offers a better fit to modern IE modules -- reflects the current emphasis on the role of developing economies * Takes a whole world perspective and includes developing countries * Includes empirical evidence throughout -- helps students understand the models * Includes reference to popular news stories -- engaging for students </t>
  </si>
  <si>
    <t xml:space="preserve">The eagerly awaited fourth edition of "Euclidian and Non-Euclidian Geometries" will provide students with an overview of both classic and hyperbolic geometries, whilst also placing the work of key mathematicians and philosophers in a historical context. Including coverage on geometric transformations, modes of the hyperbolic planes and pseudospheres, and augmented by review notes and essay topics, the fourth edition will be an outstanding accompaniment to any geometry course. </t>
  </si>
  <si>
    <t>Fiction</t>
  </si>
  <si>
    <t xml:space="preserve">Henry Lightcap, a man facing a terminal illness, sets out on a trip across America accompanied only by his dog, Solstice, and discovers the beauty and majesty of the Southwest. </t>
  </si>
  <si>
    <t>Tutorials and Simulations Using NEURON</t>
  </si>
  <si>
    <t>Neurons in Action 2</t>
  </si>
  <si>
    <t>CD-ROM</t>
  </si>
  <si>
    <t xml:space="preserve">The second edition of "Neurons in Action" stimulates the student's learning with a detailed graphical insight into the nerve function that is just not possible to grasp in static textbooks. Students discover how changing parameters such as neuronal geometry, ion concentrations, ion channel densities, and degree of myelination affects the generation of action potentials, synaptic potentials, and the spread or propagation of voltages within a neuron. For instructors, minimovies of neuron simulations are provided for use in lectures. </t>
  </si>
  <si>
    <t xml:space="preserve">Cognitive neuroscience is a new and rapidly evolving field that brings together cognitive psychology and neuroscience, drawing conceptual and technical elements from both these traditional disciplines in the quest to better understand the complex human brain functions that have puzzled thinkers for centuries. Written by seven leaders in the field, Principles of Cognitive Neuroscience informs readers at all levels about the growing canon of cognitive neuroscience, and makes clear the many challenges that remain to be solved by the next generation. KEY FEATURES AND BENEFITS * Authorative Textbook for an Emerging Discipline, drawing together the research and theory developed in the field over the last two decades and is written by seven leaders in the field * Emphasis on Brain Function, integrating technology and research examples throughout * Clearly structured with logical progression of chapters that matches onto courses easily * Richly illustrated in full colour throughout * Accessible Pedagogy includes chapter introductions, end-of-chapter summaries, boxed material on topics of special interest, extensive references, appendix that covers the essentials of neural signalling, and extensive glossary of key terms * Free Sylvius 4.0 download included with every book including an interactive tutorial on human neuroanatomy, and a digital atlas of human brain structure (see below) STUDENT SUPPLEMENTS * Companion Website available at www.sinauer.com/cogneuro: Offers a range of study tools such as Chapter Summaries, Chapter Outlines, Animations, Key Terms, Flash Cards, and Online Quizzes. * Sylvius 4.0: Interactive Atlas and Visual Glossary of the Human Central Nervous System By S. Mark Williams, Leonard E. White, and Andrew C. Mace The new Sylvius 4.0 provides a unique computer-based learning environment for exploring and understanding the structure of the human central nervous system. Sylvius 4.0 features fully annotated surface views of the human brain, as well as interactive tools for dissecting the central nervous system and viewing fully annotated cross-sections of preserved specimens and living subjects imaged by magnetic resonance. This newly expanded and reconfigured Sylvius 4.0 is more than a conventional atlas; it incorporates a comprehensive, visually rich, searchable database of more than 500 neuroanatomical terms that are concisely defined and visualized in photographs, magnetic resonance images, and illustrations from Neuroscience, Fourth Edition. For users familiar with its predecessors, this version of Sylvius unites the atlas content and utility of SylviusPro (and earlier versions of Sylvius) with the reference content of SylviusVG (and Sylvius for Neuroscience), making this version of Sylvius a single source for teaching and understanding the organization of the human central nervous system. The new Sylvius 4.0 is an excellent resource for neuroscience educators, medical students, physical therapy students, other postgraduate and professional learners, as well as undergraduate pre-medical and biological psychology students. </t>
  </si>
  <si>
    <t>Neuroscience Including Sylvius CD-ROM</t>
  </si>
  <si>
    <t xml:space="preserve">Neuroscience is a comprehensive textbook created primarily for medical and premedical students it emphasizes the structure of the nervous system, the correlation of structure and function, and the structure/function relationships particularly pertinent to the practice of medicine. Although not primarily about pathology, the book includes the basis of a variety of neurological disorders. It could serve equally well as a text for medical students or for undergraduate neuroscience courses in which many of the students are premeds. Being both comprehensive and authoritative, it is also appropriate for graduate and professional use. The new edition offers a host of new features including a new art program and a completely revised version of the popular teaching aid, Sylvius: Fundamentals of Human Neural Structure, an interactive CD ROM atlas of the human nervous system. Major changes to the new edition also include: Additional neuroanatomical content, including two appendices: (1) The Brainstem and Cranial Nerves and (2) Vascular Supply, Meninges and Ventricles. Updated and new boxes on neurological and psychiatric diseases. </t>
  </si>
  <si>
    <t>An Introduction to Behavioral and Cognitive Neuroscience</t>
  </si>
  <si>
    <t>Biological Phychology</t>
  </si>
  <si>
    <t xml:space="preserve">Biological Psychology 4th edition is a comprehensive survey of the bases of behaviour that is both authoritative and up to date. Building on the strengths of its predecessor, it continues to offer an outstanding illustration program and a very broad perspective encompassing lucid descriptions of behaviour, evolutionary history, development, proximate mechanisms and applications. The new edition boasts hundreds of new references and hones students' critical thinking ability yet remains reader friendly throughout. </t>
  </si>
  <si>
    <t>Science-Based Problem Solving in Today's World</t>
  </si>
  <si>
    <t xml:space="preserve">This online environmental science textbook focuses on relevant environmental issues, such as endangered species and natural resources, and explores the scientific approaches used to address them. Each chapter employs an inquiry-based, hands-on approach with integrated links and is accompanied by a lab. To register an access code or view a sample chapter, visit: http://ebooks.sinauer.com/envsci/ </t>
  </si>
  <si>
    <t xml:space="preserve">Through four decades of space exploration and ever-better telescopes, astronomers have searched in vain, unable to find even a single planet orbiting any of the myriad of sunlike stars strewn through the Milky Way. All of this changed in October 1995, when astronomers announced the first planet discovered orbiting another sunlike star. Worlds Unnumbered captures the excitement and explains the significance of these new worlds, with an up-to-the-last-planet account that gives the general reader a vivid picture of the new planets - planets that have already amazed astronomers for their colossal size and orbits that seem impossibly close to their respective suns. Many of the new planets are more massive than Jupiter, yet orbit their stars at distances far less than the distance of the sun to its closest planet. With theories of planet formation, the immense difficulties of observing extrasolar planets, and the prospects for future discoveries of Earthlike planets, Worlds Unnumbered's fast-paced narrative provides its readers with key insights into the question that has fascinated humanity for millennia: Are we alone in the cosmos? And if not, how far must we look to find our closest neighbor? </t>
  </si>
  <si>
    <t>Understanding Our Obsession with Technology and Overcoming Its Hold on Us</t>
  </si>
  <si>
    <t xml:space="preserve">Based on decades of research on the social impact of technology, Dr. Larry Rosen offers clear, down-to-earth explanations for why many of us are suffering from an "iDisorder." Rosen offers solid, proven strategies to help us overcome the iDisorder we all feel in our lives while still making use of all that technology offers. Our world is not going to change, and technology will continue to penetrate society even deeper leaving us little chance to react to the seemingly daily additions to our lives. Rosen teaches us how to stay human in an increasingly technological world. </t>
  </si>
  <si>
    <t>At the dawn of the atomic age, uranium and thorium were equally important as the elements of choice in researching nuclear energy - either one could have powered the world's reactors. But it was uranium that won out, and thorium, which is far cleaner, safer, and more abundant than uranium, was relegated to the dustbin of science. With it went the possibility of creating a low-risk nuclear energy source to power our planet. Now, as the world searches for cheap, non-carbon-emitting energy sources, thorium is reemerging as an overlooked solution. As one of the first energy experts to promote the development of thorium, award-winning science writer Richard Martin combines science, new historical research, and a timely business narrative to show how we can wean ourselves off our fossil-fuel addiction and shift to a lower-risk energy source. At once a big think book and a science manifesto, SuperFuel challenges us to look back at what could have been different in history as well as forward to an energy revolution in the making.</t>
  </si>
  <si>
    <t>The Race and the Rivalry to be the First in Science</t>
  </si>
  <si>
    <t xml:space="preserve">In the highly praised Prize Fight, acclaimed author Morton Meyers pulls back the curtain to reveal the hidden side of scientific discovery, from the international scandal over who discovered the AIDS virus to the fiery dispute that raged for 30 years over the development of the MRI, and many other discoveries that profoundly impact our lives. Exploring cases closely guarded by the scientific community, from allegations of stolen authorship to lifelong struggles to gain recognition, Meyers shows us how too often brilliant minds are reduced to bitter conflicts and promising careers are cut short by disputes over authorship or fudged data. He also discusses ways in which the scientific community can better resolve conflicts over the attribution of credit and avoid the paralyzing disputes that too often interrupt the pursuit of scientific progress.Drawing on extensive research and a lifetime in the scientific community, Prize Fight is a dramatic look at how scientific integrity is often imperiled through the lens of some of the most notable discoveries in science. </t>
  </si>
  <si>
    <t>The Internet of Things, the Collaborative Commons, and the Eclipse of Capitalism</t>
  </si>
  <si>
    <t xml:space="preserve">The capitalist era is passing - not quickly, but inevitably. Rising in its wake is a new global collaborative Commons that will fundamentally transform our way of life. Ironically, capitalism's demise is not coming at the hands of hostile external forces. Rather, The Zero Marginal Cost Society argues, capitalism is a victim of its own success. Intense competition across sectors of the economy is forcing the introduction of ever newer technologies. Bestselling author Jeremy Rifkin explains that this competition is boosting productivity to its optimal point where the marginal cost of producing additional units is nearly zero, which makes the product essentially free. In turn, profits are drying up, property ownership is becoming meaningless, and an economy based on scarcity is giving way to an economy of abundance, changing the very nature of society. Rifkin describes how hundreds of millions of people are already transferring parts of their economic lives from capitalist markets to global networked Commons. "Prosumers" are producing their own information, entertainment, green energy, and 3-D printed products at nearly zero marginal cost, and sharing them via social media sites, rentals, redistribution clubs, bartering networks, and cooperatives. Meanwhile, students are enrolling in massive open online courses (MOOCs) that also operate at near-zero marginal cost. And young social entrepreneurs are establishing ecologically sensitive businesses, crowdsourcing capital, and even creating alternative currencies in the new sharable economy. As a result, "exchange value" in the marketplace - long the bedrock of our economy - is increasingly being replaced by "use value" on the collaborative Commons. In this new era, identity is less bound to what one owns and more to what one shares. Cooperation replaces self-interest, access trumps ownership, and networking drubs autonomy. Rifkin concludes that while capitalism will be with us for at least the next half century, albeit in an increasingly diminished role, it will no longer be the dominant paradigm. We are, Rifkin says, entering a world beyond markets where we are learning how to live together collaboratively and sustainably in an increasingly interdependent global Commons. </t>
  </si>
  <si>
    <t>What Nature Teaches Us About Shaping Creative Leadership</t>
  </si>
  <si>
    <t>Swarm Intelligence</t>
  </si>
  <si>
    <t xml:space="preserve">CEOs around the world rank creativity as the most desirable leadership quality of the future. US employers rate innovation and problem solving as in-demand skills for workers and report a shortage of job candidates that measure up. Yet, our schools are increasingly turning into educational environments that stymie creativity - leaving children cut off from their natural impulses and boxed in by expectations. In Swarm Intelligence, Rolling argues that we need to turn our classrooms - and workplaces - into crucibles for collective creativity. Drawing on cutting-edge research in the realms of biological swarm theory, systems theory, and complexity theory and writing in an accessible narrative style, Rolling shows why working in groups makes us both smarter and more creative, and how we can put these principles in practice at the earliest stages of life, to develop the next generation of capable leaders. He argues that this model, rather than the pursuit of individual achievement, promises the greatest potential for the next generation, both as learners and as a nation. </t>
  </si>
  <si>
    <t>Why Who You Know is Worth More Than What You Have</t>
  </si>
  <si>
    <t>Reputation Economics</t>
  </si>
  <si>
    <t xml:space="preserve">As the internet has increasingly become more social, the value of individual reputations has risen, and a new currency based on reputation has been created. This means that not only are companies tracking what an individual is tweeting and what sites they spend the most time on, but they're using this knowledge to predict the consumer's future behavior. And a world in which Target knows that a woman is pregnant before she does, or where a person gets a job (or loses one) based on his high school hijinx is a scary one indeed. This is all currently happening online already. Welcome to the age of Reputation Economics: -Where Avis is currently discounting car rentals based on Twitter followers -Where Carnival Cruise Lines are offering free upgrades based on a Klout score -Where Amazon and Microsoft are a short way away from dynamically pricing their goods based on a consumer's reach and reputation online -Where Klout scores are being used to vet job applications The value of individual reputation is already radically changing the way business is done. </t>
  </si>
  <si>
    <t>Why Cutthroat Management Is Over--and Collaboration Is In</t>
  </si>
  <si>
    <t>Nice Companies Finish First</t>
  </si>
  <si>
    <t xml:space="preserve">The era of authoritarian cowboy CEOs like Jack Welch and Lee Iacocca is over. In an age of increasing transparency and access, it just doesn't pay to be a jerk - to employees, customers, competitors, or anyone else. In Nice Companies Finish First, Shankman, a pioneer in modern PR, marketing, advertising, social media, and customer service, profiles the famously nice executives, entrepreneurs, and companies that are setting the standard for success in this new collaborative world. He explores the new hallmarks of effective leadership, including loyalty, optimism, humility, and a reverence for customer service, and shows how leaders like Jet Blue's Dave Needleman, Tony Hsieh of Zappos, Steve Jobs of Apple, Ken Chenault of Amex, Indra Nooyi of Pepsi, and the team behind Patagonia harness these traits to build productive, open, and happy workplaces forthebenefit of their employees,themselves, and the bottom line. </t>
  </si>
  <si>
    <t xml:space="preserve">The Palgrave Macmillan Law Masters series is a long-running and successful list of titles offering clear, concise and authoritative guides to the main subject areas, written by experienced and respected authors. The eighth edition of Criminal Law provides a comprehensive introduction to the basic principles of criminal liability and to the main criminal offences, together with insights into the controversies and debates that surround the subject. The text is written in a clear and engaging style, making the fundamental concepts easy to grasp. This is an ideal companion for both law undergraduate and GDL/CPE students. This new edition has been comprehensively revised updated to reflect recent case law and statutory developments. There has been much updating, particularly on homicide and accessories. Useful student tools include Hot Topic sections analysing the controversial cases of recent years, plus end of chapter summaries and suggestions for further reading. </t>
  </si>
  <si>
    <t xml:space="preserve">The Palgrave Macmillan Law Masters series is a long-running and successful list of titles offering clear, concise and authoritative guides to the main subject areas, written by experienced and respected authors. This best-selling, classic text provides a clear and straightforward account of the basic rules of contract law, while also introducing current debates about the nature, scope and functions of the law and discussing wider controversies surrounding the basic doctrines. Praised time and again by both lecturers and students, Contract Law is compact yet comprehensive, well-written, well-structured, stimulating and engaging. This new tenth edition has been fully revised and updated to reflect recent changes in the law. It is essential reading for all students taking undergraduate and GDL/CPE courses in contract law. Ewan McKendrick is Registrar and Professor of English Private Law in the University of Oxford, where he is also a Fellow of Lady Margaret Hall. He is the author of a number of key works on contract law and commercial law, and is an editor of Chitty on Contracts. He is also a barrister in practice with a leading set of commercial chambers in London. </t>
  </si>
  <si>
    <t xml:space="preserve">The Palgrave Macmillan Law Masters series is a long-running and successful list of titles offering clear, concise and authoritative guides to the main subject areas, written by experienced and respected authors. This third edition of Trusts Law has been thoroughly updated to reflect recent developments in the subject, and includes a new chapter on Injunctions. The authors bring a unique combination of academic knowledge and hands-on commercial experience to the explanation of their subject. This is an ideal companion to the subject for both law undergraduate and GDL/CPE students. Includes end of chapter summaries, self-test exercises and suggestions for further reading. </t>
  </si>
  <si>
    <t>An Introduction to Theory and Process</t>
  </si>
  <si>
    <t xml:space="preserve">This textbook introduces students to the role, practice and influence of the mass media in contemporary society. Emphasizing the social, cultural, political and economic contexts in which the media operate, it provides a clear conceptual framework for understanding the process of media communication and looks at a range of key issues, from news production to media control and audience reception. The second edition has been thoroughly updated to includes substantial new material on the internet and a more sustained engagement with debates about globalization. </t>
  </si>
  <si>
    <t xml:space="preserve">In an engaging and accessible style, Mastering Public Relations takes a strategic management approach to providing a broader and deeper understanding through a well balanced interpretation of theory and practice. For undergraduate, diploma and CPD readers, this non partisan, wide ranging introduction sets public relations and its likely development in meaningful, relevant context. Recurring themes include ethics, social responsibility and international applications. There are multiple case studies and examples, numerous thought provoking questions and many more unusual topics included. </t>
  </si>
  <si>
    <t>Struggle and Resistance</t>
  </si>
  <si>
    <t>The Civil Rights Movement</t>
  </si>
  <si>
    <t xml:space="preserve">This completely revised and updated edition focuses on the African-American struggle for civil rights from 1945 to 2002. William T. Martin Riches shows how the black community used the institutions created by "de jure" segregation to overcome apartheid and white resistance. Riches emphasizes their influence on other groups demanding justice in America and warns that subsequent events and administrations have endangered the gains made by the movement. </t>
  </si>
  <si>
    <t>Policy and Practice</t>
  </si>
  <si>
    <t>Mental Health</t>
  </si>
  <si>
    <t xml:space="preserve">Encompassing information and ideas from the whole spectrum of mental health services, this text provides a unique and comprehensive overview of UK mental health policy and practice. Reviewing a wide range of adult mental health services, the text highlights examples of successful evidence-based practice, and discusses how services can be changed and improved. With reflective exercises to reinforce key messages, this is a clear and practical guide for students and practitioners. </t>
  </si>
  <si>
    <t xml:space="preserve">Society consists of people sharply divided from one another, living different lives and identifying themselves in distinct ways. The social inequalities that underlie these divisions take many forms. This updated and expanded second edition of a successful text explores each of the social divisions. The book includes three major new chapters, on religion, poverty and elites, bringing it up to date with current research and teaching practices. Written by leading academics in each field, with additional pedagogical features, this is a crucial book for all students studying social divisions. </t>
  </si>
  <si>
    <t>Alternative Medicine on Trial?</t>
  </si>
  <si>
    <t xml:space="preserve">Alternative medicine is a fifty billion dollar per year industry. But is it all nonsense? The Whole Story rounds up the latest evidence on the placebo effect, the randomized control trial, personalized genetic medicine, acupuncture, homeopathy, osteopathy and more. It reaches a provocative conclusion: alternative therapies' whole-body approach might be just what medicine really needs right now to help crack the tough, chronic conditions seemingly untouched by the revolutions of surgery, antiseptics, antibiotics, vaccines and molecular biology. </t>
  </si>
  <si>
    <t xml:space="preserve">This comprehensive assessment of EU foreign policy looks beyond the Common Foreign and Security Policy to analyze foreign policy developed through other EU pillars. It has a systematic and comprehensive overview of the EU's foreign policy. It challenges commonly used explanations for difficulties in developing a coherent EU foreign policy. It is up-to-date, providing coverage of EU foreign policy in relation to the US, Russia China and Islamism.This comprehensive assessment of EU foreign policy looks beyond the Common Foreign and Security Policy and the European Security and Defence Policy to also analyze foreign policy developed through other EU pillars. Up to date, jargon-free and supported by its own website, this is a systematic and innovative appraisal of this key policy area. </t>
  </si>
  <si>
    <t xml:space="preserve">A comprehensive assessment of EU foreign policy that looks beyond the Common Foreign and Security Policy to analyze foreign policy developed through other EU pillars. It has a systematic and comprehensive overview of the EU's foreign policy. It challenges commonly used explanations for difficulties in developing a coherent EU foreign policy. It is up-to-date, providing coverage of EU foreign policy in relation to the US, Russia China and Islamism.This comprehensive assessment of EU foreign policy looks beyond the Common Foreign and Security Policy and the European Security and Defence Policy to also analyze foreign policy developed through other EU pillars. Up to date, jargon-free and supported by its own website, this is a systematic and innovative appraisal of this key policy area. </t>
  </si>
  <si>
    <t xml:space="preserve">The second edition of a ground-breaking text, "Global Sociology, 2nd edition" will be compulsory for introductory sociology courses which take a truly global perspective. Building on the success of the ambitious first edition, the book retains and defends its innovative focus and approach. Extensively updated in the light of the most recent debates about globalization, particularly in the post 9/11 climate, this new edition also includes three wholly new chapters on lifestyle and leisure, global religions, and health, and substantial further pedagogical features. Changes, both in the public and academic sphere, make this new edition highly important to the teaching of sociology today. </t>
  </si>
  <si>
    <t xml:space="preserve">The academic profession faces new challenges everywhere. The pressures of mass higher education, accountability, fiscal constraints, distance education and the new technologies, and changing attitudes concerning academic work have combined to place unprecedented strains on the professoriate. There is no country that has avoided these challenges, although the changes vary. This book brings together some of the best analysts of the academic profession in a wide ranging comparative analysis of the changing academic workplace. The stress here is on middle income and developing countries, but the issues discussed are relevant everywhere. This book, precisely because of its comparative and international perspective, is useful worldwide. Among the topics considered in the case study chapters are: the changing demographics of the academic profession, including the role of gender in the professoriate; new developments in academic appointments, including the terms of academic work, evaluation of professors, and the tenure system; external pressures on the academic profession, including demands for accountability, threats to academic freedom, and others; the changing nature of academic work, including patterns of teaching and evaluation of students and increases in teaching responsibilities; the role of research in a changing academic environment; the impact of the new technologies and distance education; and future prospects for the professoriate. </t>
  </si>
  <si>
    <t>Education</t>
  </si>
  <si>
    <t xml:space="preserve">Many graduate students continue to be regarded as 'apprentices' despite the fact that they are expected to design and teach their own classes, serve on university committees, and conference and publish regularly. "The Chronicle of Higher Education" reports that the attrition rate for American Ph.D. programmes is at an all-time high, between 40 per cent and 50 per cent (higher for women and minorities). Of those who finish, only one in three will secure tenure-track jobs. These statistics highlight: waste of millions of dollars by universities and of time and energy by students. Rather than teaching graduate students how to be graduate students, then, the guide prepares them for what they really seek: a successful academic career. </t>
  </si>
  <si>
    <t>Inside Stories from the Frontline</t>
  </si>
  <si>
    <t>Stem Cell Wars</t>
  </si>
  <si>
    <t xml:space="preserve">According to stem cell research expert Eve Herold, the general public have become the victims of misinformation about this essential science. Over the last few years, the stem cell debate has been intensely political, religious, global, and confusing to many people. Now, Herold explains to a general audience what this science is all about, who is for and against it, and why it must go forward. In this startling book, Herold pulls together fascinating stories to highlight every aspect of this multifaceted field. She exposes the politics of stem cell research and demonstrates how these forces will intimately affect everyone. Packed with real-life stories of the people caught up in this groundbreaking struggle, "Stem Cell Wars" is a call to arms that will provoke debate and discussion for years to come. </t>
  </si>
  <si>
    <t>The fully revised second edition of this highly-acclaimed book provides an authoritative and comprehensive assessment of the role of business interests and of organized civil society in the everyday policy-making of the EU and of the significance of interest representation for European integration, and for the democratic legitimacy of the EU.</t>
  </si>
  <si>
    <t xml:space="preserve">The World Economic Forum continues its tradition of excellence with the 29th edition of the annual Global Competitiveness Report featuring the latest indicators drawn from the Executive Opinion Survey, which captures the perceptions of over 12,000 business leaders worldwide. The Report provides the most comprehensive assessment of over 130 developed and emerging economies. Produced in collaboration with a distinguished group of international scholars and a global network of around 130 partner institutes, the Report presents individual detailed country profiles highlighting the competitive strengths and weaknesses of each economy. </t>
  </si>
  <si>
    <t>Taking a market orientation approach, "Market-Driven Management" challenges the traditional concept of the 4Ps and the 'functional' role of marketing departments. The author enlarges the market definition to embrace all the key market players, including competitors, distributors and prescribers as well as the various customer groups in the wider macro-marketing environment. In addition, the author examines marketing strategy, demonstrating how strategic decisions can be implemented at the operational level.</t>
  </si>
  <si>
    <t xml:space="preserve">The updated 2nd edition of this brief introduction to Psychology, is more accessible and ideal for short courses.This is a brief, accessible introductory psychology textbook. Full-colour throughout, with high production values, it is available at an affordable price.The updated 2nd edition of this clear and brief introduction to Psychology is written by the award-winning lecturer and author Richard Griggs. The text is written in an engaging style and presents a selection of carefully chosen core concepts in psychology, providing solid topical coverage without drowning the student in a sea of details. </t>
  </si>
  <si>
    <t xml:space="preserve">This is the updated fourth edition offering balanced coverage of the environmental chemistry of natural systems.It is an updated new edition. It features an active problem-solving approach throughout. It provides balanced coverage.This is an updated fourth edition presenting a balanced coverage of the environmental chemistry of natural systems, incorporating green chemistry in every chapter. The text offers an active problem-solving approach with exercises incorporated throughout each chapter, as well as a balanced coverage of atmospheric, water and soil chemistry. </t>
  </si>
  <si>
    <t>Lehninger Principles of Biochemistry</t>
  </si>
  <si>
    <t xml:space="preserve">Lehninger Principles of Biochemistry has been a classroom favourite since its first edition. It is the classic introduction to biochemistry that brings clarity and coherence to an often unwieldy discipline, a textbook on the field's classic core, always made fresh by combining the field's definitive advances with an admirable ability to reach students. In addition to content updates throughout and more emphasis on medical relevance, the fifth edition provides updated pedagogy that supports lecturers in addressing key challenges in teaching the biochemistry course. NEW TO THIS EDITION INCLUSION OF MAJOR ADVANCES IN BIOCHEMISTRY Every chapter has been thoroughly updated to include the most important advances in biochemistry, e.g.: * New discussion of amyloid diseases in the context of protein folding (Chapter 4) * Expanded and updated section on lipid rafts and caveolae to include new material on membrane curvature and the proteins that influence it, and introducing amphitropic proteins and annular lipids (Chapter 11) * New Box 24-2, Epigenetics, Nucleosome Structure, and Histone Variants describing the role of histone modification and nucleosome deposition in the transmission of epigenetic information in heredity BIOCHEMICAL METHODS Understanding of biochemistry and its practical application is increased with new and updated details on the methods used to obtain information, e.g.: * Use of MALDI-MS in determination of oligosaccharide structure (Ch. 7) * Use of tags for protein analysis and purification (Ch. 9) MEDICALLY RELEVANT EXAMPLES An icon is used throughout to denote material of medical interest. Many new examples have been included that relate biochemistry to medicine and to health issues in general. The authors' goal is for students to learn biochemistry and to understand its relevance to life and the planet. SPECIAL THEME: UNDERSTANDING METABOLISM THROUGH OBESITY AND DIABETES Obesity and its medical consequences-cardiovascular disease and diabetes-are fast becoming epidemic in the industrialized world, and this edition includes new material on the biochemical connections between obesity and health throughout the book. This focus on diabetes provides an integrating theme throughout the chapters on metabolism and its control. NEW PROBLEM-SOLVING TOOLS * New in-text Worked Examples help students improve their quantitative problem-solving skills, taking them through some of the most difficult equations. * More than 100 new end-of-chapter problems give students further opportunity to practice what they have learned. * New Data Analysis Problems (one at the end of each chapter) encourage students to synthesize what they have learned and apply their knowledge to the interpretation of data from the literature. FOCUS ON ORGANIC CHEMISTRY FOUNDATIONS This helps students understand biochemistry by drawing on what they learned in their Organic Chemistry module. * New Section 13.2 , Chemical Logic and Common Biochemical Reactions, discusses the common biochemical reaction types that underlie all metabolic reactions. * Chemical logic is reinforced in the discussions of central metabolic pathways. * Mechanism figures feature step-by-step descriptions to help students understand the reaction process. * In the presentation of reaction mechanisms, the book consistently uses a set of conventions introduced and explained in detail with the first enzyme mechanism encountered. * Some of the new problems focus on chemical mechanisms and reinforce mechanistic themes. KEY CONVENTIONS MADE CLEAR Many of the conventions that are so necessary for understanding each biochemical topic and the biochemical literature are broken out of the text and highlighted. These Key Conventions include clear statements of many assumptions and conventions that students are often expected to assimilate without being told (for example, peptide sequences are written from amino- to carboxyterminal end, left to right; nucleotide sequences are written from 5' to 3'end, left to right). This book is supported by a companion website (www.whfreeman.com/lehninger5e), which provides a variety of study tools to aid understanding and learning including animated enzyme mechanisms and biochemical techniques, interactive quizzes, molecular structure tutorials and interactive quizzes. </t>
  </si>
  <si>
    <t xml:space="preserve">With its focus on data analysis, statistical reasoning, and the way statisticians actually work, Introduction to the Practice of Statistics has helped to revolutionize the way statistics are taught in the classroom and brings the power of critical thinking and practical applications to your course. Freed from an overload of computations, students are able to go beyond the raw numbers to see what the data actually mean. NEW TO THIS EDITION * A new author Bruce Craig, who is the director of the statistical consulting center at Purdue University, USA, His vast experience consulting and collaborating with individuals who use statistical methods in their work provides him with perspective on the field of statistics that resonates with the approach of this text. * A new design incorporates colorful, revised figures throughout. New photographs related to chapter examples and exercises make connections to real-life applications and provide a visual context for topics. * New section on Data Ethics in Chapter 3 * Changes in organisation and design to increase flexibility of topics and readability * New exercises have been added, plus all examples have been revised to reflect current data * New Use Your Knowledge exercises designed to reinforce key concepts now appear throughout each chapter * More student-friendly pedagogy includes Chapter Openers, 'Recall' Margin Call Outs, and Revised Technology References STUDENT SUPPLEMENTS * Companion Website at www.whfreeman.com/ips6e: Offers a range of study tools including Interactive Applets, Data Sets in ASCII, Mintab, TI, SPSS, JMP, and Excel formats, Interactive Exercises and self-quizzes, Student version of the Electronic Encyclopedia of Statistical Examples (EESEE), all tables from the text as PDFs, additional exercises, plus the following additional chapters: Logistic Regression, Nonparametric Tests, Bootstrap Mathods and Permutation Tests, and Statistics for Quality: Control and Capability. * Study Guide and Solutions Manual http://www.palgrave.com/products/title.aspx?PID=289873: Provides solutions to exercises from the text. * Student CD: Included with every new copy of the book, this CD provides access to the companion chapters, applets, and data sets also found on the Companion Website. LECTURER SUPPLEMENTS (Only available for adopting lecturers - please see below for details) * Companion Website at www.whfreeman.com/ips6e: Includes Instructor version of the Electronic Encyclopedia of Statistical Examples (EESEE), with solutions to the exercises in the student version, customisable PowerPoint slides matching the text's table of contents along with a wide range of figures and charts, plus access to all the student web features. * Instructor Resource CD (978-1-4292-1503-9): Contains all the student material plus additional presentation, assessment, and course management materials. * Printed Testbank (978-1-4292-1471-1): Contains hundreds of mulitple-choice questions. Lecturers Supplements are available to confirmed adopters of the textbook. To request, please email lecturerservices@palgrave.com with the title and ISBN of the required supplement together with your academic details: Supplement requested ISBN Your name Your Job Title Your academic address Your academic email Module name Module start date Module student numbers * Computerised Testbank (978-1-4292-1859-7): Contains hundreds of mulitple-choice questions. The CD format allows lecturers to edit, resequence, and download questions. </t>
  </si>
  <si>
    <t xml:space="preserve">This clearly written, class-tested manual has long given students hands-on experience covering all the essential topics in general chemistry. Stand alone experiments provide all the background introduction necessary to work with any general chemistry text. This revised edition offers new experiments and expanded information on applications to real world situations. </t>
  </si>
  <si>
    <t xml:space="preserve">This is an extremely helpful accompaniment to Chemical Principles, fifth edition, by Peter Atkins and Loretta Jones. After a review of key concepts, students are taken through worked-out examples, try-it-yourself examples, and chapter quizzes, all structured to build problem-solving techniques and reinforce study objectives from the main text. </t>
  </si>
  <si>
    <t xml:space="preserve">This nineth modular edition of David G. Myers' 'Psychology' includes expanded coverage of the most recent developments in the dynamic fields of cognitive science, neuroscience, cultural and gender diversity, and industrial/organisational psychology. </t>
  </si>
  <si>
    <t>The Quest for Insight</t>
  </si>
  <si>
    <t xml:space="preserve">An established bestseller, Chemical Principles develops students' chemical insight by showing the connections between fundamental chemical ideas and their applications. Unlike most other texts, it begins with a detailed picture of the atom, giving students a strong grounding in the subject. From this foundation, it builds toward chemistry's frontier, continually demonstrating how to solve problems, think about nature and matter, and visualize chemical concepts as working chemists do. The fifth edition has been fully updated to stay at the cutting edge of the subject. A new chapter on inorganic materials has been added, the coverage of descriptive chemistry has been improved, and new green chemistry coverage has been added to engage students with this increasingly important element of the subject. The pedagogy has also been improved, of particular note is the new 'Anticipate/Plan/Solve/Evaluate' problem-solving strategy that encourages a scientific style of thinking. The book is supported by a companion website (www.whfreeman.com/chemicalprinciples5e). This aids understanding and learning through a wide variety of study tools including quizzes, interactive graphs, animations and videos. </t>
  </si>
  <si>
    <t xml:space="preserve">Combining the strength of the data analysis approach and the power of technology, the new edition features powerful and helpful new media supplements, enhanced teacher support materials, and full integration of the TI-83 and TI-89 graphing calculators. </t>
  </si>
  <si>
    <t xml:space="preserve">THE NEXT GREAT CHAPTER IN THE STORY OF LIFE The science of biology evolves. The science classroom and lab evolve. In this edition, asalways, "Life: The Science of Biology" evolves with them, in innovative, authoritative, andcaptivating ways.From the first edition to the present, "Life" has set the standard for being the most balanced experimentally-based introductory biology text. "Life" has always presented how we know (the process of science through experiments) as well as what we know (facts derived from these experiments). The new edition builds on this legacy, again teaching fundamental concepts and the latest developments by taking students step by step through the research that revealed them. To achieve this, all of the Ninth Edition's innovations--new authorship, new and reororganized chapters, new experimental content, enhanced features, reinvisioned art, and new media tools--are focused on giving students and instructors the best tools for bringing the best of biological research and applications into the introductory majors biology course.Also avalable, Volume Splits: --paperbound in full color!Volume I: The Cell and Heredity (Chapters 1-20)Volume II: Evolution, Diversity and Ecology (Chapters 1, 21-33, 54-59)Volume III: Plants and Animals (Chapters 1, 34-53) A GREENER LIFEAnother first, the new edition of "Life" is printed on paper earning the Forest Stewardship Council (FSC) label, the "gold standard" in green paper products. "Life "paper includes 10% pre-consumer waste, 10% post-consumer waste, and is manufactured from wood from well-managed sustainable forests. Additionally, "Life's" green initiatives include: - 5% soy based ink- Covers printed on stock with 10% post-consumer waste- 100% recycled paper coverboards- Digitized work flow to reduce paper wasteAll of which also earn us Courier Printing Company's Green Edition designation for reducing our environmental footprint. The environmental savings we have achieved on the first printing alone are: - Number of trees saved: 469- Air emissions eliminated (GHG's): 52,240 pounds- Water saved: 171,250 gallons- Solid waste eliminated: 28,335 pounds </t>
  </si>
  <si>
    <t xml:space="preserve">THE NEXT GREAT CHAPTER IN THE STORY OF LIFEThe science of biology evolves. The science classroom and lab evolve. In this edition, asalways, "Life: The Science of Biology" evolves with them, in innovative, authoritative, andcaptivating ways.From the first edition to the present, "Life" has set the standard for being the most balanced experimentally-based introductory biology text. "Life" has always presented how we know (the process of science through experiments) as well as what we know (facts derived from these experiments). The new edition builds on this legacy, again teaching fundamental concepts and the latest developments by taking students step by step through the research that revealed them. To achieve this, all of the Ninth Edition s innovations new authorship, new and reororganized chapters, new experimental content, enhanced features, reinvisioned art, and new media tools are focused on giving students and instructors the best tools for bringing the best of biological research and applications into the introductory majors biology course.Also avalable, Volume Splits: paperbound in full color!Volume I: The Cell and Heredity (Chapters 1-20)Volume II: Evolution, Diversity and Ecology (Chapters 1, 21-33, 54-59)Volume III: Plants and Animals (Chapters 1, 34-53) A GREENER LIFEAnother first, the new edition of "Life" is printed on paper earning the Forest Stewardship Council (FSC) label, the gold standard in green paper products. "Life "paper includes 10% pre-consumer waste, 10% post-consumer waste, and is manufactured from wood from well-managed sustainable forests. Additionally, "Life s" green initiatives include: 5% soy based ink Covers printed on stock with 10% post-consumer waste 100% recycled paper coverboards Digitized work flow to reduce paper wasteAll of which also earn us Courier Printing Company s Green Edition designation for reducing our environmental footprint. The environmental savings we have achieved on the first printing alone are: Number of trees saved: 469 Air emissions eliminated (GHG s): 52,240 pounds Water saved: 171,250 gallons Solid waste eliminated: 28,335 pounds " </t>
  </si>
  <si>
    <t>Life: The Science of Biology</t>
  </si>
  <si>
    <t>Innovative, authoritative, and captivating - Life is the most balanced experimentally-based biology text available. It offers an engaging and coherent presentation of the fundamentals of biology by describing the landmark experiments that revealed them. The ninth edition remains at the cutting edge of the subject through new authorship, new experimental content, more real-life examples, enhanced art, and new media tools. It also contains three new chapters on increasingly important topics: Nucleic Acids and the Origin of Life, Genomes, and Interaction Ecology. The book is supported by a companion website (www.whfreeman.com/thelifewire9e), which offers a wide variety of study tools to help revise effectively: Interactive Summaries, Animated Tutorials, Activities, Interactive Tutorials, Working with Data, Experiment Links, Flashcards, Key Terms, Suggested Readings, Tree of Life, Glossary, Math for Life, Survival Skills, and a Statistics Primer.</t>
  </si>
  <si>
    <t>Problems in Organic Synthesis provides over 100 new and challenging problems, designed to aid in the mastery of organic synthesis. While written to be a companion text to Modern Organic Synthesis, it can serve as a supplement to any organic synthesis course.
Problems in Organic Synthesis features chemistry from the current literature and addresses recent advances in the field. It provides full problems and detailed answers, along with corresponding literature references, to create a contemporary context for appreciating the art of organic synthesis.</t>
  </si>
  <si>
    <t>This best-selling textbook, known for its prominent authorship, exposes students to the landmark experiments in genetics, teaching them how to analyze experimental data and draw their own conclusions based on scientific thinking. The 10th edition has been updated with key advances in genetics and cutting-edge experiments and techniques. New co-author John Doebley, a highly respected population geneticist, brings a fresh, student-driven perspective to completely new chapters on Population and Quantitative Genetics. The key chapters on Evolutionary Genetics and The Evolution of Genes and Traits have been heavily revised to reflect recent discoveries in these areas. The end-of-chapter problems have also been revised and updated, giving students great new exercises to test their understanding. The book is supported by a companion website (www.whfreeman.com/iga10e), which provides online quizzing with feedback and 45 FLASH Animations on core concepts or processes in Genetics.</t>
  </si>
  <si>
    <t xml:space="preserve">This brief, non-technical introduction to physical geology features geologic events, their implications for the planet, and the commercial applications of of geology. It also includes an art package drawn by a field geologist and a chapter on historical geology. </t>
  </si>
  <si>
    <t>Palgrave Higher Education</t>
  </si>
  <si>
    <t>2nd Edition</t>
  </si>
  <si>
    <t>3rd Edition</t>
  </si>
  <si>
    <t>4th Edition</t>
  </si>
  <si>
    <t>5th Edition</t>
  </si>
  <si>
    <t>6th Edition</t>
  </si>
  <si>
    <t>7th Edition</t>
  </si>
  <si>
    <t>8th Edition</t>
  </si>
  <si>
    <t>9th Edition</t>
  </si>
  <si>
    <t>10th Edition</t>
  </si>
  <si>
    <t>12th Edition</t>
  </si>
  <si>
    <t>Cena Kč</t>
  </si>
  <si>
    <t>Podtitul</t>
  </si>
  <si>
    <t>Religion</t>
  </si>
  <si>
    <t>Media Studies</t>
  </si>
  <si>
    <t>Business &amp; Economics</t>
  </si>
  <si>
    <t>Memory Studies</t>
  </si>
  <si>
    <t>Literature</t>
  </si>
  <si>
    <t>Political Science</t>
  </si>
  <si>
    <t>International Relations</t>
  </si>
  <si>
    <t>General</t>
  </si>
  <si>
    <t>Crime &amp; criminology</t>
  </si>
  <si>
    <t>Epistemology</t>
  </si>
  <si>
    <t>Ethics</t>
  </si>
  <si>
    <t>Metaphysics</t>
  </si>
  <si>
    <t>Philosophy</t>
  </si>
  <si>
    <t>Ecological science</t>
  </si>
  <si>
    <t>Engineering</t>
  </si>
  <si>
    <t>Computer Science</t>
  </si>
  <si>
    <t>Law</t>
  </si>
  <si>
    <t>Library &amp; information sciences</t>
  </si>
  <si>
    <t>Media studies</t>
  </si>
  <si>
    <t>Discourse Analysis</t>
  </si>
  <si>
    <t>Theatre studies</t>
  </si>
  <si>
    <t>Social Science</t>
  </si>
  <si>
    <t>Anthropology</t>
  </si>
  <si>
    <t>Policing</t>
  </si>
  <si>
    <t>Ethnicity Studies</t>
  </si>
  <si>
    <t>Culture</t>
  </si>
  <si>
    <t>Oblast</t>
  </si>
  <si>
    <t>Autor</t>
  </si>
  <si>
    <t>Titul</t>
  </si>
  <si>
    <t>Rok</t>
  </si>
  <si>
    <t>Vydavatelství</t>
  </si>
  <si>
    <t>Sleva%</t>
  </si>
  <si>
    <t>Zlevněná cena Kč</t>
  </si>
  <si>
    <t>Katalogová cena vydavatelství           (bez DPH a dopravy)</t>
  </si>
  <si>
    <t>Měna</t>
  </si>
  <si>
    <t>Vazba</t>
  </si>
  <si>
    <t>Vydání</t>
  </si>
  <si>
    <t>Počet stran</t>
  </si>
  <si>
    <t>Popis</t>
  </si>
  <si>
    <t>MALÉ CENTRUM</t>
  </si>
  <si>
    <t>www.malecentrum.cz</t>
  </si>
  <si>
    <t>Malé Centrum (Knihkupectví a vydavatelství)</t>
  </si>
  <si>
    <t>Nabídka platí do vyprodání zásob</t>
  </si>
  <si>
    <t>Kotlářská 2</t>
  </si>
  <si>
    <t>611 37  Brno</t>
  </si>
  <si>
    <t>IČO: 63363585, DIČ: CZ628804233</t>
  </si>
  <si>
    <r>
      <rPr>
        <b/>
        <i/>
        <sz val="10"/>
        <rFont val="Arial"/>
        <family val="2"/>
        <charset val="238"/>
      </rPr>
      <t>Poštovné:</t>
    </r>
    <r>
      <rPr>
        <i/>
        <sz val="10"/>
        <rFont val="Arial"/>
        <family val="2"/>
        <charset val="238"/>
      </rPr>
      <t xml:space="preserve"> do 2700 Kč poštovné dle váhy a ceny (od 90,- Kč)</t>
    </r>
  </si>
  <si>
    <t>nad 2700 Kč hradí Malé Centrum</t>
  </si>
  <si>
    <t>Telefon: 00420 549 492 571</t>
  </si>
  <si>
    <t>E-mail: janka@malecentrum.cz</t>
  </si>
  <si>
    <t>Ceny Kč zahrnují dopravní náklady ze zahraničí na naši pobočku v Brně a jsou včetně 10% (21%) DPH</t>
  </si>
  <si>
    <t>facebook.com/Malé-Centrum</t>
  </si>
  <si>
    <t>Tato nabídka spadá pod ochranu našeho autorství</t>
  </si>
  <si>
    <t>Výprodej titulů z vydavatelství Palgrave Macmillan</t>
  </si>
  <si>
    <r>
      <t xml:space="preserve">Doba dodání: </t>
    </r>
    <r>
      <rPr>
        <b/>
        <i/>
        <sz val="10"/>
        <color theme="0" tint="-0.499984740745262"/>
        <rFont val="Arial"/>
        <family val="2"/>
        <charset val="238"/>
      </rPr>
      <t>ihned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</si>
</sst>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 Sk&quot;_-;\-* #,##0.00&quot; Sk&quot;_-;_-* \-??&quot; Sk&quot;_-;_-@_-"/>
    <numFmt numFmtId="165" formatCode="[$£-809]#,##0.00"/>
    <numFmt numFmtId="166" formatCode="[$-41B]mmmm\ yy;@"/>
  </numFmts>
  <fonts count="49" x14ac:knownFonts="1">
    <font>
      <sz val="11"/>
      <color theme="1"/>
      <name val="Calibri"/>
      <family val="2"/>
      <charset val="238"/>
      <scheme val="minor"/>
    </font>
    <font>
      <sz val="10"/>
      <color indexed="8"/>
      <name val="ARIAL"/>
      <family val="2"/>
      <charset val="1"/>
    </font>
    <font>
      <sz val="10"/>
      <name val="Times New Roman"/>
      <family val="1"/>
      <charset val="238"/>
    </font>
    <font>
      <sz val="11"/>
      <color indexed="8"/>
      <name val="Calibri"/>
      <family val="2"/>
      <charset val="238"/>
    </font>
    <font>
      <sz val="10"/>
      <name val="Arial"/>
      <family val="2"/>
    </font>
    <font>
      <sz val="10"/>
      <name val="Arial"/>
      <family val="2"/>
      <charset val="238"/>
    </font>
    <font>
      <sz val="11"/>
      <color rgb="FF000000"/>
      <name val="Calibri"/>
      <family val="2"/>
      <charset val="238"/>
    </font>
    <font>
      <sz val="10"/>
      <color indexed="8"/>
      <name val="Arial"/>
      <family val="2"/>
      <charset val="238"/>
    </font>
    <font>
      <sz val="11"/>
      <color theme="1"/>
      <name val="Calibri"/>
      <family val="2"/>
      <charset val="238"/>
      <scheme val="minor"/>
    </font>
    <font>
      <u/>
      <sz val="10"/>
      <color indexed="12"/>
      <name val="Times New Roman"/>
      <family val="1"/>
      <charset val="238"/>
    </font>
    <font>
      <sz val="11"/>
      <color theme="1"/>
      <name val="Calibri"/>
      <family val="2"/>
      <charset val="238"/>
    </font>
    <font>
      <i/>
      <sz val="11"/>
      <color theme="1"/>
      <name val="Calibri"/>
      <family val="2"/>
      <charset val="238"/>
    </font>
    <font>
      <b/>
      <i/>
      <sz val="11"/>
      <color theme="1"/>
      <name val="Calibri"/>
      <family val="2"/>
      <charset val="238"/>
    </font>
    <font>
      <sz val="14"/>
      <color theme="1"/>
      <name val="Calibri"/>
      <family val="2"/>
      <charset val="238"/>
    </font>
    <font>
      <i/>
      <sz val="11"/>
      <color theme="1"/>
      <name val="Calibri"/>
      <family val="2"/>
      <charset val="238"/>
      <scheme val="minor"/>
    </font>
    <font>
      <b/>
      <i/>
      <sz val="11"/>
      <color theme="1"/>
      <name val="Calibri"/>
      <family val="2"/>
      <charset val="238"/>
      <scheme val="minor"/>
    </font>
    <font>
      <b/>
      <i/>
      <u/>
      <sz val="10"/>
      <color indexed="12"/>
      <name val="Arial"/>
      <family val="2"/>
      <charset val="238"/>
    </font>
    <font>
      <b/>
      <sz val="11"/>
      <color theme="1"/>
      <name val="Calibri"/>
      <family val="2"/>
      <charset val="238"/>
      <scheme val="minor"/>
    </font>
    <font>
      <b/>
      <sz val="11"/>
      <color theme="1"/>
      <name val="Calibri"/>
      <family val="2"/>
      <charset val="238"/>
    </font>
    <font>
      <u/>
      <sz val="11"/>
      <color theme="10"/>
      <name val="Calibri"/>
      <family val="2"/>
      <charset val="238"/>
      <scheme val="minor"/>
    </font>
    <font>
      <b/>
      <sz val="12"/>
      <color theme="0"/>
      <name val="Calibri"/>
      <family val="2"/>
      <charset val="238"/>
      <scheme val="minor"/>
    </font>
    <font>
      <b/>
      <sz val="11"/>
      <color rgb="FF000000"/>
      <name val="Calibri"/>
      <family val="2"/>
      <charset val="238"/>
      <scheme val="minor"/>
    </font>
    <font>
      <b/>
      <i/>
      <sz val="11"/>
      <color rgb="FF000000"/>
      <name val="Calibri"/>
      <family val="2"/>
      <charset val="238"/>
      <scheme val="minor"/>
    </font>
    <font>
      <i/>
      <sz val="9"/>
      <color theme="1" tint="0.249977111117893"/>
      <name val="Calibri"/>
      <family val="2"/>
      <charset val="238"/>
      <scheme val="minor"/>
    </font>
    <font>
      <i/>
      <sz val="9"/>
      <color theme="1"/>
      <name val="Calibri"/>
      <family val="2"/>
      <charset val="238"/>
      <scheme val="minor"/>
    </font>
    <font>
      <i/>
      <sz val="9"/>
      <color theme="1"/>
      <name val="Calibri"/>
      <family val="2"/>
      <charset val="238"/>
    </font>
    <font>
      <b/>
      <sz val="12"/>
      <color theme="1"/>
      <name val="Calibri"/>
      <family val="2"/>
      <charset val="238"/>
      <scheme val="minor"/>
    </font>
    <font>
      <b/>
      <sz val="12"/>
      <color theme="0"/>
      <name val="Calibri"/>
      <family val="2"/>
      <charset val="238"/>
    </font>
    <font>
      <b/>
      <sz val="13"/>
      <color theme="1"/>
      <name val="Calibri"/>
      <family val="2"/>
      <charset val="238"/>
    </font>
    <font>
      <b/>
      <sz val="13"/>
      <color rgb="FFFF0000"/>
      <name val="Calibri"/>
      <family val="2"/>
      <charset val="238"/>
    </font>
    <font>
      <i/>
      <sz val="12"/>
      <color theme="1"/>
      <name val="Calibri"/>
      <family val="2"/>
      <charset val="238"/>
    </font>
    <font>
      <i/>
      <sz val="9"/>
      <color theme="0" tint="-0.499984740745262"/>
      <name val="Calibri"/>
      <family val="2"/>
      <charset val="238"/>
    </font>
    <font>
      <b/>
      <sz val="14"/>
      <name val="Arial"/>
      <family val="2"/>
      <charset val="238"/>
    </font>
    <font>
      <u/>
      <sz val="16"/>
      <color indexed="12"/>
      <name val="Times New Roman"/>
      <family val="1"/>
      <charset val="238"/>
    </font>
    <font>
      <sz val="11"/>
      <name val="Calibri"/>
      <family val="2"/>
      <charset val="238"/>
    </font>
    <font>
      <b/>
      <sz val="12"/>
      <color theme="1"/>
      <name val="Arial"/>
      <family val="2"/>
      <charset val="238"/>
    </font>
    <font>
      <b/>
      <sz val="11"/>
      <color rgb="FFFF0000"/>
      <name val="Calibri"/>
      <family val="2"/>
      <charset val="238"/>
    </font>
    <font>
      <sz val="12"/>
      <name val="Calibri"/>
      <family val="2"/>
      <charset val="238"/>
    </font>
    <font>
      <b/>
      <sz val="12"/>
      <name val="Arial"/>
      <family val="2"/>
      <charset val="238"/>
    </font>
    <font>
      <b/>
      <sz val="12"/>
      <color theme="0"/>
      <name val="Arial"/>
      <family val="2"/>
      <charset val="238"/>
    </font>
    <font>
      <b/>
      <sz val="10"/>
      <color rgb="FFFF0000"/>
      <name val="Arial"/>
      <family val="2"/>
      <charset val="238"/>
    </font>
    <font>
      <sz val="12"/>
      <name val="Arial"/>
      <family val="2"/>
      <charset val="238"/>
    </font>
    <font>
      <i/>
      <sz val="9"/>
      <color theme="0" tint="-0.499984740745262"/>
      <name val="Arial"/>
      <family val="2"/>
      <charset val="238"/>
    </font>
    <font>
      <b/>
      <sz val="10"/>
      <name val="Arial"/>
      <family val="2"/>
      <charset val="238"/>
    </font>
    <font>
      <b/>
      <i/>
      <sz val="10"/>
      <name val="Arial"/>
      <family val="2"/>
      <charset val="238"/>
    </font>
    <font>
      <i/>
      <sz val="10"/>
      <name val="Arial"/>
      <family val="2"/>
      <charset val="238"/>
    </font>
    <font>
      <u/>
      <sz val="10"/>
      <color theme="10"/>
      <name val="Arial"/>
      <family val="2"/>
      <charset val="238"/>
    </font>
    <font>
      <b/>
      <sz val="14"/>
      <color theme="0" tint="-0.499984740745262"/>
      <name val="Arial"/>
      <family val="2"/>
      <charset val="238"/>
    </font>
    <font>
      <b/>
      <i/>
      <sz val="10"/>
      <color theme="0" tint="-0.499984740745262"/>
      <name val="Arial"/>
      <family val="2"/>
      <charset val="238"/>
    </font>
  </fonts>
  <fills count="6">
    <fill>
      <patternFill patternType="none"/>
    </fill>
    <fill>
      <patternFill patternType="gray125"/>
    </fill>
    <fill>
      <patternFill patternType="solid">
        <fgColor theme="0" tint="-0.14999847407452621"/>
        <bgColor rgb="FF000000"/>
      </patternFill>
    </fill>
    <fill>
      <patternFill patternType="solid">
        <fgColor theme="0" tint="-0.34998626667073579"/>
        <bgColor rgb="FF000000"/>
      </patternFill>
    </fill>
    <fill>
      <patternFill patternType="solid">
        <fgColor theme="0" tint="-0.34998626667073579"/>
        <bgColor indexed="64"/>
      </patternFill>
    </fill>
    <fill>
      <patternFill patternType="solid">
        <fgColor theme="0"/>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6">
    <xf numFmtId="0" fontId="0" fillId="0" borderId="0"/>
    <xf numFmtId="164" fontId="1" fillId="0" borderId="0" applyFill="0" applyBorder="0" applyProtection="0">
      <alignment vertical="top"/>
    </xf>
    <xf numFmtId="0" fontId="3" fillId="0" borderId="0"/>
    <xf numFmtId="0" fontId="4" fillId="0" borderId="0">
      <alignment vertical="top"/>
    </xf>
    <xf numFmtId="0" fontId="3" fillId="0" borderId="0"/>
    <xf numFmtId="0" fontId="2" fillId="0" borderId="0">
      <alignment vertical="top"/>
    </xf>
    <xf numFmtId="0" fontId="9" fillId="0" borderId="0" applyNumberFormat="0" applyFill="0" applyBorder="0" applyAlignment="0" applyProtection="0">
      <alignment vertical="top"/>
      <protection locked="0"/>
    </xf>
    <xf numFmtId="0" fontId="8" fillId="0" borderId="0"/>
    <xf numFmtId="0" fontId="5" fillId="0" borderId="0"/>
    <xf numFmtId="2" fontId="2" fillId="0" borderId="0"/>
    <xf numFmtId="0" fontId="7" fillId="0" borderId="0"/>
    <xf numFmtId="0" fontId="4" fillId="0" borderId="0"/>
    <xf numFmtId="0" fontId="8" fillId="0" borderId="0"/>
    <xf numFmtId="0" fontId="6" fillId="0" borderId="0"/>
    <xf numFmtId="0" fontId="6" fillId="0" borderId="0"/>
    <xf numFmtId="0" fontId="19" fillId="0" borderId="0" applyNumberFormat="0" applyFill="0" applyBorder="0" applyAlignment="0" applyProtection="0"/>
  </cellStyleXfs>
  <cellXfs count="113">
    <xf numFmtId="0" fontId="0" fillId="0" borderId="0" xfId="0"/>
    <xf numFmtId="0" fontId="0" fillId="0" borderId="0" xfId="0" applyAlignment="1">
      <alignment horizontal="center"/>
    </xf>
    <xf numFmtId="0" fontId="13" fillId="0" borderId="0" xfId="0" applyFont="1" applyFill="1" applyBorder="1" applyAlignment="1">
      <alignment vertical="center"/>
    </xf>
    <xf numFmtId="0" fontId="10" fillId="0" borderId="0" xfId="0" applyFont="1" applyFill="1" applyBorder="1" applyAlignment="1">
      <alignment vertical="center"/>
    </xf>
    <xf numFmtId="0" fontId="0" fillId="0" borderId="0" xfId="0" applyFill="1"/>
    <xf numFmtId="0" fontId="0" fillId="0" borderId="0" xfId="0" applyAlignment="1">
      <alignment horizontal="left"/>
    </xf>
    <xf numFmtId="1" fontId="0" fillId="0" borderId="0" xfId="0" applyNumberFormat="1" applyAlignment="1">
      <alignment horizontal="left"/>
    </xf>
    <xf numFmtId="0" fontId="14" fillId="0" borderId="0" xfId="0" applyFont="1"/>
    <xf numFmtId="0" fontId="15" fillId="0" borderId="0" xfId="0" applyFont="1"/>
    <xf numFmtId="3" fontId="0" fillId="0" borderId="0" xfId="0" applyNumberFormat="1" applyAlignment="1">
      <alignment horizontal="center"/>
    </xf>
    <xf numFmtId="0" fontId="0" fillId="0" borderId="0" xfId="0" applyFont="1"/>
    <xf numFmtId="0" fontId="0" fillId="0" borderId="1" xfId="0" applyNumberFormat="1" applyFont="1" applyFill="1" applyBorder="1" applyAlignment="1" applyProtection="1">
      <alignment horizontal="left"/>
    </xf>
    <xf numFmtId="1" fontId="0" fillId="0" borderId="1" xfId="0" applyNumberFormat="1" applyFont="1" applyFill="1" applyBorder="1" applyAlignment="1" applyProtection="1">
      <alignment horizontal="left"/>
    </xf>
    <xf numFmtId="0" fontId="14" fillId="0" borderId="1" xfId="0" applyNumberFormat="1" applyFont="1" applyFill="1" applyBorder="1" applyAlignment="1" applyProtection="1"/>
    <xf numFmtId="0" fontId="16" fillId="0" borderId="1" xfId="0" applyFont="1" applyFill="1" applyBorder="1"/>
    <xf numFmtId="0" fontId="0" fillId="0" borderId="1" xfId="0" applyNumberFormat="1" applyFont="1" applyFill="1" applyBorder="1" applyAlignment="1" applyProtection="1">
      <alignment horizontal="center"/>
    </xf>
    <xf numFmtId="0" fontId="0" fillId="0" borderId="1" xfId="0" applyNumberFormat="1" applyFont="1" applyFill="1" applyBorder="1" applyAlignment="1" applyProtection="1"/>
    <xf numFmtId="3" fontId="0" fillId="0" borderId="1" xfId="0" applyNumberFormat="1" applyFont="1" applyFill="1" applyBorder="1" applyAlignment="1" applyProtection="1">
      <alignment horizontal="center"/>
    </xf>
    <xf numFmtId="1" fontId="10" fillId="0" borderId="1" xfId="0" applyNumberFormat="1" applyFont="1" applyFill="1" applyBorder="1" applyAlignment="1">
      <alignment horizontal="center" vertical="center"/>
    </xf>
    <xf numFmtId="0" fontId="10" fillId="0" borderId="1" xfId="0" applyFont="1" applyFill="1" applyBorder="1" applyAlignment="1">
      <alignment vertical="center"/>
    </xf>
    <xf numFmtId="0" fontId="14" fillId="0" borderId="1" xfId="0" applyNumberFormat="1" applyFont="1" applyFill="1" applyBorder="1" applyAlignment="1" applyProtection="1">
      <alignment horizontal="left"/>
    </xf>
    <xf numFmtId="0" fontId="0" fillId="0" borderId="1" xfId="0" applyFill="1" applyBorder="1" applyAlignment="1">
      <alignment horizontal="left"/>
    </xf>
    <xf numFmtId="1" fontId="0" fillId="0" borderId="1" xfId="0" applyNumberFormat="1" applyFill="1" applyBorder="1" applyAlignment="1">
      <alignment horizontal="left"/>
    </xf>
    <xf numFmtId="0" fontId="14" fillId="0" borderId="1" xfId="0" applyFont="1" applyFill="1" applyBorder="1"/>
    <xf numFmtId="0" fontId="15" fillId="0" borderId="1" xfId="0" applyFont="1" applyFill="1" applyBorder="1"/>
    <xf numFmtId="0" fontId="0" fillId="0" borderId="1" xfId="0" applyFill="1" applyBorder="1" applyAlignment="1">
      <alignment horizontal="center"/>
    </xf>
    <xf numFmtId="0" fontId="0" fillId="0" borderId="1" xfId="0" applyFill="1" applyBorder="1"/>
    <xf numFmtId="3" fontId="0" fillId="0" borderId="1" xfId="0" applyNumberFormat="1" applyFill="1" applyBorder="1" applyAlignment="1">
      <alignment horizontal="center"/>
    </xf>
    <xf numFmtId="0" fontId="0" fillId="0" borderId="1" xfId="0" applyFont="1" applyFill="1" applyBorder="1"/>
    <xf numFmtId="1" fontId="10" fillId="0" borderId="1" xfId="0" applyNumberFormat="1" applyFont="1" applyFill="1" applyBorder="1" applyAlignment="1">
      <alignment horizontal="left" vertical="center"/>
    </xf>
    <xf numFmtId="0" fontId="11" fillId="0" borderId="1" xfId="0" applyFont="1" applyFill="1" applyBorder="1" applyAlignment="1">
      <alignment vertical="center"/>
    </xf>
    <xf numFmtId="0" fontId="12" fillId="0" borderId="1" xfId="0" applyFont="1" applyFill="1" applyBorder="1" applyAlignment="1">
      <alignment vertical="center"/>
    </xf>
    <xf numFmtId="0" fontId="10" fillId="0" borderId="1" xfId="0" applyFont="1" applyFill="1" applyBorder="1" applyAlignment="1">
      <alignment horizontal="center" vertical="center"/>
    </xf>
    <xf numFmtId="3" fontId="10" fillId="0" borderId="1" xfId="0" applyNumberFormat="1" applyFont="1" applyFill="1" applyBorder="1" applyAlignment="1">
      <alignment horizontal="center" vertical="center"/>
    </xf>
    <xf numFmtId="1" fontId="5" fillId="0" borderId="1" xfId="0" applyNumberFormat="1" applyFont="1" applyFill="1" applyBorder="1" applyAlignment="1">
      <alignment horizontal="left"/>
    </xf>
    <xf numFmtId="1" fontId="0" fillId="0" borderId="1" xfId="0" applyNumberFormat="1" applyFill="1" applyBorder="1" applyAlignment="1">
      <alignment horizontal="center"/>
    </xf>
    <xf numFmtId="0" fontId="10" fillId="0" borderId="1" xfId="0" quotePrefix="1" applyFont="1" applyFill="1" applyBorder="1" applyAlignment="1">
      <alignment vertical="center"/>
    </xf>
    <xf numFmtId="1" fontId="18" fillId="0" borderId="1" xfId="0" applyNumberFormat="1" applyFont="1" applyFill="1" applyBorder="1" applyAlignment="1">
      <alignment horizontal="center" vertical="center"/>
    </xf>
    <xf numFmtId="0" fontId="17" fillId="0" borderId="1" xfId="0" applyFont="1" applyFill="1" applyBorder="1" applyAlignment="1">
      <alignment horizontal="center"/>
    </xf>
    <xf numFmtId="0" fontId="17" fillId="0" borderId="0" xfId="0" applyFont="1" applyAlignment="1">
      <alignment horizontal="center"/>
    </xf>
    <xf numFmtId="2" fontId="24" fillId="0" borderId="1" xfId="0" applyNumberFormat="1" applyFont="1" applyFill="1" applyBorder="1" applyAlignment="1" applyProtection="1">
      <alignment horizontal="center" vertical="top"/>
    </xf>
    <xf numFmtId="0" fontId="24" fillId="0" borderId="1" xfId="0" applyNumberFormat="1" applyFont="1" applyFill="1" applyBorder="1" applyAlignment="1" applyProtection="1">
      <alignment horizontal="center"/>
    </xf>
    <xf numFmtId="2" fontId="24" fillId="0" borderId="1" xfId="0" applyNumberFormat="1" applyFont="1" applyFill="1" applyBorder="1" applyAlignment="1">
      <alignment horizontal="center"/>
    </xf>
    <xf numFmtId="0" fontId="24" fillId="0" borderId="1" xfId="0" applyFont="1" applyFill="1" applyBorder="1" applyAlignment="1">
      <alignment horizontal="center"/>
    </xf>
    <xf numFmtId="2" fontId="25" fillId="0" borderId="1" xfId="0" applyNumberFormat="1" applyFont="1" applyFill="1" applyBorder="1" applyAlignment="1">
      <alignment horizontal="center" vertical="center"/>
    </xf>
    <xf numFmtId="0" fontId="25" fillId="0" borderId="1" xfId="0" applyFont="1" applyFill="1" applyBorder="1" applyAlignment="1">
      <alignment horizontal="center" vertical="center"/>
    </xf>
    <xf numFmtId="2" fontId="24" fillId="0" borderId="1" xfId="0" applyNumberFormat="1" applyFont="1" applyFill="1" applyBorder="1" applyAlignment="1" applyProtection="1">
      <alignment horizontal="center"/>
    </xf>
    <xf numFmtId="2" fontId="24" fillId="0" borderId="0" xfId="0" applyNumberFormat="1" applyFont="1" applyAlignment="1">
      <alignment horizontal="center"/>
    </xf>
    <xf numFmtId="0" fontId="24" fillId="0" borderId="0" xfId="0" applyFont="1" applyAlignment="1">
      <alignment horizontal="center"/>
    </xf>
    <xf numFmtId="0" fontId="21" fillId="2" borderId="0" xfId="0" applyFont="1" applyFill="1" applyBorder="1" applyAlignment="1">
      <alignment horizontal="left" vertical="center"/>
    </xf>
    <xf numFmtId="0" fontId="22" fillId="2" borderId="0" xfId="0" applyFont="1" applyFill="1" applyBorder="1" applyAlignment="1">
      <alignment vertical="center"/>
    </xf>
    <xf numFmtId="0" fontId="21" fillId="2" borderId="0" xfId="0" applyFont="1" applyFill="1" applyBorder="1" applyAlignment="1">
      <alignment horizontal="center" vertical="center"/>
    </xf>
    <xf numFmtId="3" fontId="21" fillId="2" borderId="0" xfId="0" applyNumberFormat="1" applyFont="1" applyFill="1" applyBorder="1" applyAlignment="1">
      <alignment horizontal="center" vertical="center"/>
    </xf>
    <xf numFmtId="0" fontId="17" fillId="2" borderId="0" xfId="0" applyFont="1" applyFill="1" applyBorder="1" applyAlignment="1">
      <alignment horizontal="center" vertical="center"/>
    </xf>
    <xf numFmtId="165" fontId="23" fillId="2" borderId="0" xfId="0" applyNumberFormat="1" applyFont="1" applyFill="1" applyBorder="1" applyAlignment="1">
      <alignment horizontal="center" vertical="center" wrapText="1"/>
    </xf>
    <xf numFmtId="0" fontId="23" fillId="2" borderId="0" xfId="0" applyFont="1" applyFill="1" applyBorder="1" applyAlignment="1">
      <alignment horizontal="center" vertical="center"/>
    </xf>
    <xf numFmtId="0" fontId="21" fillId="2" borderId="0" xfId="0" applyFont="1" applyFill="1" applyBorder="1" applyAlignment="1">
      <alignment horizontal="center" vertical="center" wrapText="1"/>
    </xf>
    <xf numFmtId="0" fontId="21" fillId="2" borderId="0" xfId="0" applyFont="1" applyFill="1" applyBorder="1" applyAlignment="1">
      <alignment vertical="center"/>
    </xf>
    <xf numFmtId="3" fontId="20" fillId="3" borderId="0" xfId="0" applyNumberFormat="1" applyFont="1" applyFill="1" applyBorder="1" applyAlignment="1">
      <alignment horizontal="center" vertical="center" wrapText="1"/>
    </xf>
    <xf numFmtId="3" fontId="27" fillId="4" borderId="1" xfId="0" applyNumberFormat="1" applyFont="1" applyFill="1" applyBorder="1" applyAlignment="1">
      <alignment horizontal="center" vertical="center"/>
    </xf>
    <xf numFmtId="0" fontId="26" fillId="0" borderId="0" xfId="0" applyFont="1" applyAlignment="1">
      <alignment horizontal="center"/>
    </xf>
    <xf numFmtId="0" fontId="20" fillId="3" borderId="0" xfId="0" applyFont="1" applyFill="1" applyBorder="1" applyAlignment="1">
      <alignment vertical="center"/>
    </xf>
    <xf numFmtId="0" fontId="20" fillId="4" borderId="1" xfId="0" applyNumberFormat="1" applyFont="1" applyFill="1" applyBorder="1" applyAlignment="1" applyProtection="1">
      <alignment horizontal="left"/>
    </xf>
    <xf numFmtId="0" fontId="20" fillId="4" borderId="1" xfId="0" applyFont="1" applyFill="1" applyBorder="1" applyAlignment="1">
      <alignment horizontal="left"/>
    </xf>
    <xf numFmtId="2" fontId="27" fillId="4" borderId="1" xfId="0" applyNumberFormat="1" applyFont="1" applyFill="1" applyBorder="1" applyAlignment="1">
      <alignment horizontal="left" vertical="center"/>
    </xf>
    <xf numFmtId="1" fontId="10" fillId="5" borderId="0" xfId="0" applyNumberFormat="1" applyFont="1" applyFill="1" applyBorder="1" applyAlignment="1">
      <alignment horizontal="left" vertical="center"/>
    </xf>
    <xf numFmtId="0" fontId="11" fillId="5" borderId="0" xfId="0" applyFont="1" applyFill="1" applyBorder="1" applyAlignment="1">
      <alignment vertical="center"/>
    </xf>
    <xf numFmtId="0" fontId="12" fillId="5"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horizontal="center" vertical="center"/>
    </xf>
    <xf numFmtId="0" fontId="29" fillId="5" borderId="0" xfId="0" applyFont="1" applyFill="1" applyBorder="1" applyAlignment="1">
      <alignment horizontal="center" vertical="center"/>
    </xf>
    <xf numFmtId="2" fontId="30" fillId="5" borderId="0" xfId="0" applyNumberFormat="1" applyFont="1" applyFill="1" applyBorder="1" applyAlignment="1">
      <alignment horizontal="left" vertical="center"/>
    </xf>
    <xf numFmtId="0" fontId="31" fillId="5" borderId="0" xfId="0" applyFont="1" applyFill="1" applyBorder="1" applyAlignment="1">
      <alignment horizontal="center" vertical="center"/>
    </xf>
    <xf numFmtId="1" fontId="32" fillId="5" borderId="0" xfId="0" applyNumberFormat="1" applyFont="1" applyFill="1" applyAlignment="1">
      <alignment horizontal="left" vertical="center"/>
    </xf>
    <xf numFmtId="0" fontId="34" fillId="5" borderId="0" xfId="0" applyFont="1" applyFill="1" applyBorder="1" applyAlignment="1">
      <alignment vertical="center"/>
    </xf>
    <xf numFmtId="1" fontId="35" fillId="5" borderId="0" xfId="0" applyNumberFormat="1" applyFont="1" applyFill="1" applyBorder="1" applyAlignment="1">
      <alignment vertical="center"/>
    </xf>
    <xf numFmtId="1" fontId="35" fillId="5" borderId="0" xfId="0" applyNumberFormat="1" applyFont="1" applyFill="1" applyAlignment="1">
      <alignment horizontal="center" vertical="center"/>
    </xf>
    <xf numFmtId="4" fontId="34" fillId="5" borderId="0" xfId="0" applyNumberFormat="1" applyFont="1" applyFill="1" applyBorder="1" applyAlignment="1">
      <alignment vertical="center"/>
    </xf>
    <xf numFmtId="4" fontId="36" fillId="5" borderId="0" xfId="0" applyNumberFormat="1" applyFont="1" applyFill="1" applyBorder="1" applyAlignment="1">
      <alignment vertical="center"/>
    </xf>
    <xf numFmtId="0" fontId="37" fillId="5" borderId="0" xfId="0" applyFont="1" applyFill="1" applyAlignment="1">
      <alignment horizontal="center"/>
    </xf>
    <xf numFmtId="0" fontId="31" fillId="5" borderId="0" xfId="0" applyFont="1" applyFill="1" applyBorder="1" applyAlignment="1">
      <alignment vertical="center"/>
    </xf>
    <xf numFmtId="0" fontId="34" fillId="5" borderId="0" xfId="0" applyFont="1" applyFill="1" applyAlignment="1"/>
    <xf numFmtId="0" fontId="34" fillId="5" borderId="0" xfId="0" applyFont="1" applyFill="1" applyBorder="1" applyAlignment="1">
      <alignment horizontal="center" vertical="center"/>
    </xf>
    <xf numFmtId="1" fontId="38" fillId="5" borderId="0" xfId="0" applyNumberFormat="1" applyFont="1" applyFill="1" applyAlignment="1">
      <alignment horizontal="left"/>
    </xf>
    <xf numFmtId="0" fontId="5" fillId="5" borderId="0" xfId="0" applyFont="1" applyFill="1" applyAlignment="1"/>
    <xf numFmtId="1" fontId="39" fillId="5" borderId="0" xfId="0" applyNumberFormat="1" applyFont="1" applyFill="1" applyAlignment="1">
      <alignment vertical="center" wrapText="1"/>
    </xf>
    <xf numFmtId="1" fontId="39" fillId="5" borderId="0" xfId="0" applyNumberFormat="1" applyFont="1" applyFill="1" applyAlignment="1">
      <alignment horizontal="center" vertical="center" wrapText="1"/>
    </xf>
    <xf numFmtId="4" fontId="5" fillId="5" borderId="0" xfId="0" applyNumberFormat="1" applyFont="1" applyFill="1" applyAlignment="1"/>
    <xf numFmtId="4" fontId="40" fillId="5" borderId="0" xfId="0" applyNumberFormat="1" applyFont="1" applyFill="1" applyAlignment="1"/>
    <xf numFmtId="0" fontId="41" fillId="5" borderId="0" xfId="0" applyFont="1" applyFill="1" applyAlignment="1"/>
    <xf numFmtId="0" fontId="42" fillId="5" borderId="0" xfId="0" applyFont="1" applyFill="1" applyAlignment="1"/>
    <xf numFmtId="0" fontId="5" fillId="5" borderId="0" xfId="0" applyFont="1" applyFill="1" applyAlignment="1">
      <alignment horizontal="center"/>
    </xf>
    <xf numFmtId="1" fontId="43" fillId="5" borderId="0" xfId="0" applyNumberFormat="1" applyFont="1" applyFill="1" applyAlignment="1">
      <alignment horizontal="left"/>
    </xf>
    <xf numFmtId="2" fontId="5" fillId="5" borderId="0" xfId="0" applyNumberFormat="1" applyFont="1" applyFill="1" applyAlignment="1">
      <alignment horizontal="center"/>
    </xf>
    <xf numFmtId="1" fontId="5" fillId="5" borderId="0" xfId="0" applyNumberFormat="1" applyFont="1" applyFill="1" applyAlignment="1">
      <alignment horizontal="left" vertical="center"/>
    </xf>
    <xf numFmtId="2" fontId="5" fillId="5" borderId="0" xfId="0" applyNumberFormat="1" applyFont="1" applyFill="1" applyAlignment="1"/>
    <xf numFmtId="0" fontId="44" fillId="5" borderId="0" xfId="0" applyFont="1" applyFill="1" applyAlignment="1"/>
    <xf numFmtId="0" fontId="45" fillId="5" borderId="0" xfId="0" applyFont="1" applyFill="1" applyAlignment="1">
      <alignment horizontal="left"/>
    </xf>
    <xf numFmtId="1" fontId="5" fillId="5" borderId="0" xfId="0" applyNumberFormat="1" applyFont="1" applyFill="1" applyAlignment="1">
      <alignment horizontal="left"/>
    </xf>
    <xf numFmtId="2" fontId="45" fillId="5" borderId="0" xfId="0" applyNumberFormat="1" applyFont="1" applyFill="1" applyAlignment="1">
      <alignment horizontal="left"/>
    </xf>
    <xf numFmtId="166" fontId="45" fillId="5" borderId="0" xfId="0" applyNumberFormat="1" applyFont="1" applyFill="1" applyAlignment="1">
      <alignment horizontal="right"/>
    </xf>
    <xf numFmtId="166" fontId="42" fillId="5" borderId="0" xfId="0" applyNumberFormat="1" applyFont="1" applyFill="1" applyAlignment="1">
      <alignment horizontal="right"/>
    </xf>
    <xf numFmtId="0" fontId="45" fillId="5" borderId="0" xfId="0" applyFont="1" applyFill="1" applyAlignment="1">
      <alignment horizontal="left" vertical="center"/>
    </xf>
    <xf numFmtId="0" fontId="45" fillId="5" borderId="0" xfId="0" applyFont="1" applyFill="1" applyAlignment="1">
      <alignment horizontal="right"/>
    </xf>
    <xf numFmtId="0" fontId="42" fillId="5" borderId="0" xfId="0" applyFont="1" applyFill="1" applyAlignment="1">
      <alignment horizontal="right"/>
    </xf>
    <xf numFmtId="0" fontId="46" fillId="5" borderId="0" xfId="15" applyFont="1" applyFill="1" applyAlignment="1" applyProtection="1">
      <alignment horizontal="left"/>
    </xf>
    <xf numFmtId="0" fontId="45" fillId="5" borderId="0" xfId="0" applyFont="1" applyFill="1" applyAlignment="1"/>
    <xf numFmtId="14" fontId="5" fillId="5" borderId="0" xfId="0" applyNumberFormat="1" applyFont="1" applyFill="1" applyAlignment="1"/>
    <xf numFmtId="1" fontId="47" fillId="5" borderId="0" xfId="0" applyNumberFormat="1" applyFont="1" applyFill="1" applyBorder="1" applyAlignment="1">
      <alignment vertical="center"/>
    </xf>
    <xf numFmtId="0" fontId="48" fillId="5" borderId="0" xfId="0" applyFont="1" applyFill="1" applyAlignment="1"/>
    <xf numFmtId="0" fontId="33" fillId="5" borderId="0" xfId="15" applyFont="1" applyFill="1" applyAlignment="1" applyProtection="1">
      <alignment horizontal="right" vertical="center"/>
    </xf>
    <xf numFmtId="0" fontId="33" fillId="5" borderId="0" xfId="15" applyFont="1" applyFill="1" applyAlignment="1" applyProtection="1">
      <alignment horizontal="left" vertical="center"/>
    </xf>
  </cellXfs>
  <cellStyles count="16">
    <cellStyle name="Hypertextové prepojenie" xfId="15" builtinId="8"/>
    <cellStyle name="Hypertextové prepojenie 2" xfId="6"/>
    <cellStyle name="měny_Inventúra 2005" xfId="1"/>
    <cellStyle name="Normálna 2" xfId="13"/>
    <cellStyle name="Normálne" xfId="0" builtinId="0"/>
    <cellStyle name="normálne 2" xfId="3"/>
    <cellStyle name="normálne 2 2" xfId="7"/>
    <cellStyle name="normálne 2 3" xfId="5"/>
    <cellStyle name="Normálne 3" xfId="14"/>
    <cellStyle name="normálne 5" xfId="12"/>
    <cellStyle name="normálne 6" xfId="4"/>
    <cellStyle name="normálne 7" xfId="2"/>
    <cellStyle name="normální 2" xfId="8"/>
    <cellStyle name="normální_Inventúra 2005" xfId="9"/>
    <cellStyle name="Standaard_Blad1" xfId="10"/>
    <cellStyle name="Štýl 1" xfId="11"/>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1238250</xdr:colOff>
      <xdr:row>1</xdr:row>
      <xdr:rowOff>9525</xdr:rowOff>
    </xdr:from>
    <xdr:to>
      <xdr:col>8</xdr:col>
      <xdr:colOff>220756</xdr:colOff>
      <xdr:row>4</xdr:row>
      <xdr:rowOff>0</xdr:rowOff>
    </xdr:to>
    <xdr:pic>
      <xdr:nvPicPr>
        <xdr:cNvPr id="2" name="Obrázo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43925" y="66675"/>
          <a:ext cx="1401856"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1266825</xdr:colOff>
      <xdr:row>4</xdr:row>
      <xdr:rowOff>36979</xdr:rowOff>
    </xdr:from>
    <xdr:to>
      <xdr:col>9</xdr:col>
      <xdr:colOff>619125</xdr:colOff>
      <xdr:row>8</xdr:row>
      <xdr:rowOff>48455</xdr:rowOff>
    </xdr:to>
    <xdr:pic>
      <xdr:nvPicPr>
        <xdr:cNvPr id="4" name="Obrázo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00" y="741829"/>
          <a:ext cx="2409825" cy="773476"/>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alecentrum.cz/" TargetMode="External"/><Relationship Id="rId1" Type="http://schemas.openxmlformats.org/officeDocument/2006/relationships/hyperlink" Target="https://www.facebook.com/pages/Mal&#233;-Centrum/117398254969195"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2"/>
  <sheetViews>
    <sheetView tabSelected="1" workbookViewId="0">
      <selection activeCell="C4" sqref="C4"/>
    </sheetView>
  </sheetViews>
  <sheetFormatPr defaultRowHeight="15.75" x14ac:dyDescent="0.25"/>
  <cols>
    <col min="1" max="1" width="24.28515625" style="5" customWidth="1"/>
    <col min="2" max="2" width="16" style="6" customWidth="1"/>
    <col min="3" max="3" width="21.7109375" style="7" customWidth="1"/>
    <col min="4" max="4" width="42.5703125" style="8" customWidth="1"/>
    <col min="5" max="5" width="22.28515625" style="7" hidden="1" customWidth="1"/>
    <col min="6" max="6" width="9.140625" style="1" customWidth="1"/>
    <col min="7" max="7" width="25.5703125" customWidth="1"/>
    <col min="8" max="8" width="10.7109375" style="9" customWidth="1"/>
    <col min="9" max="9" width="9.5703125" style="39" customWidth="1"/>
    <col min="10" max="10" width="10.85546875" style="60" customWidth="1"/>
    <col min="11" max="11" width="15.7109375" style="47" hidden="1" customWidth="1"/>
    <col min="12" max="12" width="8.5703125" style="48" hidden="1" customWidth="1"/>
    <col min="13" max="13" width="12.7109375" customWidth="1"/>
    <col min="14" max="14" width="12.42578125" style="5" customWidth="1"/>
    <col min="15" max="15" width="12.42578125" style="1" customWidth="1"/>
    <col min="16" max="16" width="47.42578125" style="10" customWidth="1"/>
  </cols>
  <sheetData>
    <row r="1" spans="1:16" s="69" customFormat="1" ht="4.5" customHeight="1" x14ac:dyDescent="0.25">
      <c r="A1" s="65"/>
      <c r="B1" s="66"/>
      <c r="C1" s="67"/>
      <c r="D1" s="68"/>
      <c r="F1" s="68"/>
      <c r="G1" s="70"/>
      <c r="H1" s="71"/>
      <c r="I1" s="72"/>
      <c r="J1" s="73"/>
      <c r="K1" s="73"/>
      <c r="L1" s="68"/>
    </row>
    <row r="2" spans="1:16" s="75" customFormat="1" ht="20.25" x14ac:dyDescent="0.25">
      <c r="A2" s="74" t="s">
        <v>1730</v>
      </c>
      <c r="B2" s="112"/>
      <c r="C2" s="111" t="s">
        <v>1731</v>
      </c>
      <c r="D2" s="109" t="s">
        <v>1744</v>
      </c>
      <c r="E2" s="76"/>
      <c r="F2" s="77"/>
      <c r="G2" s="78"/>
      <c r="H2" s="79"/>
      <c r="I2" s="80"/>
      <c r="J2" s="81"/>
      <c r="K2" s="81"/>
      <c r="L2" s="82"/>
      <c r="M2" s="83"/>
    </row>
    <row r="3" spans="1:16" s="85" customFormat="1" ht="18" customHeight="1" x14ac:dyDescent="0.25">
      <c r="A3" s="84"/>
      <c r="D3" s="86"/>
      <c r="E3" s="87"/>
      <c r="F3" s="87"/>
      <c r="G3" s="88"/>
      <c r="H3" s="89"/>
      <c r="I3" s="90"/>
      <c r="J3" s="91"/>
      <c r="K3" s="91"/>
      <c r="L3" s="86"/>
      <c r="M3" s="92"/>
    </row>
    <row r="4" spans="1:16" s="85" customFormat="1" ht="12.75" customHeight="1" x14ac:dyDescent="0.2">
      <c r="A4" s="93" t="s">
        <v>1732</v>
      </c>
      <c r="D4" s="110" t="s">
        <v>1733</v>
      </c>
      <c r="E4" s="94"/>
      <c r="F4" s="92"/>
      <c r="G4" s="88"/>
      <c r="H4" s="89"/>
      <c r="I4" s="90"/>
      <c r="J4" s="91"/>
      <c r="K4" s="91"/>
      <c r="L4" s="86"/>
      <c r="M4" s="92"/>
    </row>
    <row r="5" spans="1:16" s="85" customFormat="1" ht="15" x14ac:dyDescent="0.2">
      <c r="A5" s="95" t="s">
        <v>1734</v>
      </c>
      <c r="E5" s="94"/>
      <c r="F5" s="92"/>
      <c r="G5" s="88"/>
      <c r="H5" s="89"/>
      <c r="I5" s="90"/>
      <c r="J5" s="91"/>
      <c r="K5" s="91"/>
      <c r="L5" s="96"/>
      <c r="M5" s="92"/>
    </row>
    <row r="6" spans="1:16" s="85" customFormat="1" ht="15" x14ac:dyDescent="0.2">
      <c r="A6" s="95" t="s">
        <v>1735</v>
      </c>
      <c r="D6" s="97" t="s">
        <v>1745</v>
      </c>
      <c r="E6" s="94"/>
      <c r="F6" s="92"/>
      <c r="G6" s="88"/>
      <c r="H6" s="89"/>
      <c r="I6" s="90"/>
      <c r="J6" s="91"/>
      <c r="K6" s="91"/>
      <c r="L6" s="96"/>
      <c r="M6" s="92"/>
    </row>
    <row r="7" spans="1:16" s="85" customFormat="1" ht="15" x14ac:dyDescent="0.2">
      <c r="A7" s="95" t="s">
        <v>1736</v>
      </c>
      <c r="D7" s="98" t="s">
        <v>1737</v>
      </c>
      <c r="E7" s="94"/>
      <c r="F7" s="92"/>
      <c r="G7" s="88"/>
      <c r="H7" s="89"/>
      <c r="I7" s="90"/>
      <c r="J7" s="91"/>
      <c r="K7" s="91"/>
      <c r="L7" s="96"/>
      <c r="M7" s="92"/>
    </row>
    <row r="8" spans="1:16" s="85" customFormat="1" ht="15" x14ac:dyDescent="0.2">
      <c r="D8" s="98" t="s">
        <v>1738</v>
      </c>
      <c r="E8" s="94"/>
      <c r="F8" s="96"/>
      <c r="G8" s="88"/>
      <c r="H8" s="89"/>
      <c r="I8" s="90"/>
      <c r="J8" s="91"/>
      <c r="K8" s="91"/>
      <c r="L8" s="96"/>
      <c r="M8" s="92"/>
    </row>
    <row r="9" spans="1:16" s="85" customFormat="1" ht="15" x14ac:dyDescent="0.2">
      <c r="A9" s="99" t="s">
        <v>1739</v>
      </c>
      <c r="D9" s="100"/>
      <c r="E9" s="101"/>
      <c r="G9" s="88"/>
      <c r="H9" s="89"/>
      <c r="I9" s="90"/>
      <c r="J9" s="91"/>
      <c r="K9" s="102"/>
      <c r="L9" s="96"/>
      <c r="M9" s="92"/>
    </row>
    <row r="10" spans="1:16" s="85" customFormat="1" ht="15" x14ac:dyDescent="0.2">
      <c r="A10" s="99" t="s">
        <v>1740</v>
      </c>
      <c r="D10" s="103" t="s">
        <v>1741</v>
      </c>
      <c r="E10" s="104"/>
      <c r="G10" s="88"/>
      <c r="H10" s="89"/>
      <c r="I10" s="90"/>
      <c r="J10" s="91"/>
      <c r="K10" s="105"/>
      <c r="L10" s="96"/>
      <c r="M10" s="92"/>
    </row>
    <row r="11" spans="1:16" s="85" customFormat="1" ht="15" x14ac:dyDescent="0.2">
      <c r="A11" s="106" t="s">
        <v>1742</v>
      </c>
      <c r="D11" s="107" t="s">
        <v>1743</v>
      </c>
      <c r="E11" s="104"/>
      <c r="G11" s="88"/>
      <c r="H11" s="89"/>
      <c r="I11" s="90"/>
      <c r="J11" s="91"/>
      <c r="K11" s="105"/>
      <c r="L11" s="108"/>
      <c r="M11" s="92"/>
    </row>
    <row r="12" spans="1:16" s="85" customFormat="1" ht="15" x14ac:dyDescent="0.2">
      <c r="E12" s="104"/>
      <c r="G12" s="88"/>
      <c r="H12" s="89"/>
      <c r="I12" s="90"/>
      <c r="J12" s="91"/>
      <c r="K12" s="105"/>
      <c r="M12" s="92"/>
    </row>
    <row r="13" spans="1:16" ht="36" x14ac:dyDescent="0.25">
      <c r="A13" s="61" t="s">
        <v>1717</v>
      </c>
      <c r="B13" s="49" t="s">
        <v>3</v>
      </c>
      <c r="C13" s="50" t="s">
        <v>1718</v>
      </c>
      <c r="D13" s="50" t="s">
        <v>1719</v>
      </c>
      <c r="E13" s="50" t="s">
        <v>1690</v>
      </c>
      <c r="F13" s="51" t="s">
        <v>1720</v>
      </c>
      <c r="G13" s="49" t="s">
        <v>1721</v>
      </c>
      <c r="H13" s="52" t="s">
        <v>1689</v>
      </c>
      <c r="I13" s="53" t="s">
        <v>1722</v>
      </c>
      <c r="J13" s="58" t="s">
        <v>1723</v>
      </c>
      <c r="K13" s="54" t="s">
        <v>1724</v>
      </c>
      <c r="L13" s="55" t="s">
        <v>1725</v>
      </c>
      <c r="M13" s="49" t="s">
        <v>1726</v>
      </c>
      <c r="N13" s="49" t="s">
        <v>1727</v>
      </c>
      <c r="O13" s="56" t="s">
        <v>1728</v>
      </c>
      <c r="P13" s="57" t="s">
        <v>1729</v>
      </c>
    </row>
    <row r="14" spans="1:16" s="4" customFormat="1" x14ac:dyDescent="0.25">
      <c r="A14" s="62" t="s">
        <v>1713</v>
      </c>
      <c r="B14" s="12">
        <v>9781137471109</v>
      </c>
      <c r="C14" s="13" t="s">
        <v>1511</v>
      </c>
      <c r="D14" s="14" t="str">
        <f>HYPERLINK("http://www.springer.com/gp/book/9781137471109","Geocritical Explorations")</f>
        <v>Geocritical Explorations</v>
      </c>
      <c r="E14" s="20" t="s">
        <v>1512</v>
      </c>
      <c r="F14" s="15" t="s">
        <v>714</v>
      </c>
      <c r="G14" s="16" t="s">
        <v>1525</v>
      </c>
      <c r="H14" s="17">
        <v>865</v>
      </c>
      <c r="I14" s="37">
        <v>25</v>
      </c>
      <c r="J14" s="59">
        <v>649</v>
      </c>
      <c r="K14" s="40">
        <v>26.99</v>
      </c>
      <c r="L14" s="41" t="s">
        <v>275</v>
      </c>
      <c r="M14" s="19" t="s">
        <v>273</v>
      </c>
      <c r="N14" s="11"/>
      <c r="O14" s="15"/>
      <c r="P14" s="16"/>
    </row>
    <row r="15" spans="1:16" s="4" customFormat="1" x14ac:dyDescent="0.25">
      <c r="A15" s="62" t="s">
        <v>1713</v>
      </c>
      <c r="B15" s="12">
        <v>9781137376848</v>
      </c>
      <c r="C15" s="13" t="s">
        <v>1426</v>
      </c>
      <c r="D15" s="14" t="str">
        <f>HYPERLINK("http://www.springer.com/gp/book/9781137376848","The History of the Kiss!")</f>
        <v>The History of the Kiss!</v>
      </c>
      <c r="E15" s="20" t="s">
        <v>1427</v>
      </c>
      <c r="F15" s="15" t="s">
        <v>700</v>
      </c>
      <c r="G15" s="16" t="s">
        <v>1525</v>
      </c>
      <c r="H15" s="17">
        <v>865</v>
      </c>
      <c r="I15" s="37">
        <v>20</v>
      </c>
      <c r="J15" s="59">
        <v>692</v>
      </c>
      <c r="K15" s="40">
        <v>26.99</v>
      </c>
      <c r="L15" s="41" t="s">
        <v>275</v>
      </c>
      <c r="M15" s="19" t="s">
        <v>273</v>
      </c>
      <c r="N15" s="11"/>
      <c r="O15" s="15"/>
      <c r="P15" s="16"/>
    </row>
    <row r="16" spans="1:16" s="4" customFormat="1" x14ac:dyDescent="0.25">
      <c r="A16" s="63" t="s">
        <v>190</v>
      </c>
      <c r="B16" s="22">
        <v>9781464150760</v>
      </c>
      <c r="C16" s="23" t="s">
        <v>333</v>
      </c>
      <c r="D16" s="24" t="s">
        <v>334</v>
      </c>
      <c r="E16" s="23"/>
      <c r="F16" s="25">
        <v>2013</v>
      </c>
      <c r="G16" s="26" t="s">
        <v>1678</v>
      </c>
      <c r="H16" s="27">
        <v>1061</v>
      </c>
      <c r="I16" s="37">
        <v>20</v>
      </c>
      <c r="J16" s="59">
        <v>849</v>
      </c>
      <c r="K16" s="42">
        <v>25.99</v>
      </c>
      <c r="L16" s="43" t="s">
        <v>272</v>
      </c>
      <c r="M16" s="26" t="s">
        <v>273</v>
      </c>
      <c r="N16" s="21" t="s">
        <v>1681</v>
      </c>
      <c r="O16" s="25">
        <v>224</v>
      </c>
      <c r="P16" s="28" t="s">
        <v>658</v>
      </c>
    </row>
    <row r="17" spans="1:16" s="4" customFormat="1" x14ac:dyDescent="0.25">
      <c r="A17" s="64" t="s">
        <v>190</v>
      </c>
      <c r="B17" s="29">
        <v>9780716767664</v>
      </c>
      <c r="C17" s="30" t="s">
        <v>260</v>
      </c>
      <c r="D17" s="31" t="s">
        <v>1591</v>
      </c>
      <c r="E17" s="30"/>
      <c r="F17" s="32">
        <v>2007</v>
      </c>
      <c r="G17" s="19" t="s">
        <v>194</v>
      </c>
      <c r="H17" s="33">
        <v>2122</v>
      </c>
      <c r="I17" s="38">
        <v>30</v>
      </c>
      <c r="J17" s="59">
        <v>1485</v>
      </c>
      <c r="K17" s="44">
        <v>51.99</v>
      </c>
      <c r="L17" s="45" t="s">
        <v>272</v>
      </c>
      <c r="M17" s="19" t="s">
        <v>274</v>
      </c>
      <c r="N17" s="21" t="s">
        <v>1683</v>
      </c>
      <c r="O17" s="18">
        <v>1050</v>
      </c>
      <c r="P17" s="19" t="s">
        <v>1592</v>
      </c>
    </row>
    <row r="18" spans="1:16" s="4" customFormat="1" x14ac:dyDescent="0.25">
      <c r="A18" s="64" t="s">
        <v>190</v>
      </c>
      <c r="B18" s="22">
        <v>9781464104367</v>
      </c>
      <c r="C18" s="23" t="s">
        <v>630</v>
      </c>
      <c r="D18" s="24" t="s">
        <v>629</v>
      </c>
      <c r="E18" s="23"/>
      <c r="F18" s="25">
        <v>2012</v>
      </c>
      <c r="G18" s="26" t="s">
        <v>1678</v>
      </c>
      <c r="H18" s="27">
        <v>2000</v>
      </c>
      <c r="I18" s="37">
        <v>20</v>
      </c>
      <c r="J18" s="59">
        <v>1600</v>
      </c>
      <c r="K18" s="42">
        <v>48.99</v>
      </c>
      <c r="L18" s="43" t="s">
        <v>272</v>
      </c>
      <c r="M18" s="26" t="s">
        <v>273</v>
      </c>
      <c r="N18" s="21" t="s">
        <v>1679</v>
      </c>
      <c r="O18" s="25">
        <v>620</v>
      </c>
      <c r="P18" s="28" t="s">
        <v>631</v>
      </c>
    </row>
    <row r="19" spans="1:16" s="4" customFormat="1" x14ac:dyDescent="0.25">
      <c r="A19" s="64" t="s">
        <v>190</v>
      </c>
      <c r="B19" s="22">
        <v>9781605351735</v>
      </c>
      <c r="C19" s="23" t="s">
        <v>202</v>
      </c>
      <c r="D19" s="24" t="s">
        <v>203</v>
      </c>
      <c r="E19" s="23"/>
      <c r="F19" s="25">
        <v>2013</v>
      </c>
      <c r="G19" s="26" t="s">
        <v>1678</v>
      </c>
      <c r="H19" s="27">
        <v>2163</v>
      </c>
      <c r="I19" s="37">
        <v>20</v>
      </c>
      <c r="J19" s="59">
        <v>1730</v>
      </c>
      <c r="K19" s="42">
        <v>52.99</v>
      </c>
      <c r="L19" s="43" t="s">
        <v>272</v>
      </c>
      <c r="M19" s="26" t="s">
        <v>274</v>
      </c>
      <c r="N19" s="21" t="s">
        <v>1687</v>
      </c>
      <c r="O19" s="25">
        <v>719</v>
      </c>
      <c r="P19" s="28" t="s">
        <v>628</v>
      </c>
    </row>
    <row r="20" spans="1:16" s="4" customFormat="1" x14ac:dyDescent="0.25">
      <c r="A20" s="64" t="s">
        <v>190</v>
      </c>
      <c r="B20" s="22">
        <v>9781429231244</v>
      </c>
      <c r="C20" s="23" t="s">
        <v>293</v>
      </c>
      <c r="D20" s="24" t="s">
        <v>680</v>
      </c>
      <c r="E20" s="23"/>
      <c r="F20" s="25">
        <v>2014</v>
      </c>
      <c r="G20" s="26" t="s">
        <v>1678</v>
      </c>
      <c r="H20" s="27">
        <v>2286</v>
      </c>
      <c r="I20" s="37">
        <v>20</v>
      </c>
      <c r="J20" s="59">
        <v>1829</v>
      </c>
      <c r="K20" s="42">
        <v>55.99</v>
      </c>
      <c r="L20" s="43" t="s">
        <v>272</v>
      </c>
      <c r="M20" s="26" t="s">
        <v>274</v>
      </c>
      <c r="N20" s="21" t="s">
        <v>1679</v>
      </c>
      <c r="O20" s="25">
        <v>700</v>
      </c>
      <c r="P20" s="28" t="s">
        <v>681</v>
      </c>
    </row>
    <row r="21" spans="1:16" s="4" customFormat="1" x14ac:dyDescent="0.25">
      <c r="A21" s="62" t="s">
        <v>190</v>
      </c>
      <c r="B21" s="12">
        <v>9780230004993</v>
      </c>
      <c r="C21" s="13" t="s">
        <v>1055</v>
      </c>
      <c r="D21" s="14" t="str">
        <f>HYPERLINK("http://www.springer.com/gp/book/9780230004993","Fiscal Policy for Development")</f>
        <v>Fiscal Policy for Development</v>
      </c>
      <c r="E21" s="20" t="s">
        <v>1056</v>
      </c>
      <c r="F21" s="15" t="s">
        <v>808</v>
      </c>
      <c r="G21" s="16" t="s">
        <v>1525</v>
      </c>
      <c r="H21" s="17">
        <v>1922</v>
      </c>
      <c r="I21" s="38">
        <v>30</v>
      </c>
      <c r="J21" s="59">
        <v>1345</v>
      </c>
      <c r="K21" s="40">
        <v>59.99</v>
      </c>
      <c r="L21" s="41" t="s">
        <v>275</v>
      </c>
      <c r="M21" s="19" t="s">
        <v>273</v>
      </c>
      <c r="N21" s="11"/>
      <c r="O21" s="15"/>
      <c r="P21" s="16"/>
    </row>
    <row r="22" spans="1:16" s="4" customFormat="1" x14ac:dyDescent="0.25">
      <c r="A22" s="64" t="s">
        <v>190</v>
      </c>
      <c r="B22" s="22">
        <v>9781464109461</v>
      </c>
      <c r="C22" s="23" t="s">
        <v>644</v>
      </c>
      <c r="D22" s="24" t="s">
        <v>25</v>
      </c>
      <c r="E22" s="23"/>
      <c r="F22" s="25">
        <v>2014</v>
      </c>
      <c r="G22" s="26" t="s">
        <v>1678</v>
      </c>
      <c r="H22" s="27">
        <v>2204</v>
      </c>
      <c r="I22" s="37">
        <v>20</v>
      </c>
      <c r="J22" s="59">
        <v>1763</v>
      </c>
      <c r="K22" s="42">
        <v>53.99</v>
      </c>
      <c r="L22" s="43" t="s">
        <v>272</v>
      </c>
      <c r="M22" s="26" t="s">
        <v>274</v>
      </c>
      <c r="N22" s="21" t="s">
        <v>1682</v>
      </c>
      <c r="O22" s="25">
        <v>864</v>
      </c>
      <c r="P22" s="28" t="s">
        <v>645</v>
      </c>
    </row>
    <row r="23" spans="1:16" s="4" customFormat="1" x14ac:dyDescent="0.25">
      <c r="A23" s="64" t="s">
        <v>190</v>
      </c>
      <c r="B23" s="29">
        <v>9780716799023</v>
      </c>
      <c r="C23" s="30" t="s">
        <v>7</v>
      </c>
      <c r="D23" s="31" t="s">
        <v>8</v>
      </c>
      <c r="E23" s="30"/>
      <c r="F23" s="32">
        <v>2007</v>
      </c>
      <c r="G23" s="19" t="s">
        <v>204</v>
      </c>
      <c r="H23" s="33">
        <v>2041</v>
      </c>
      <c r="I23" s="38">
        <v>30</v>
      </c>
      <c r="J23" s="59">
        <v>1429</v>
      </c>
      <c r="K23" s="44">
        <v>49.99</v>
      </c>
      <c r="L23" s="45" t="s">
        <v>272</v>
      </c>
      <c r="M23" s="19" t="s">
        <v>274</v>
      </c>
      <c r="N23" s="21" t="s">
        <v>1686</v>
      </c>
      <c r="O23" s="18">
        <v>800</v>
      </c>
      <c r="P23" s="19" t="s">
        <v>1599</v>
      </c>
    </row>
    <row r="24" spans="1:16" s="4" customFormat="1" x14ac:dyDescent="0.25">
      <c r="A24" s="64" t="s">
        <v>190</v>
      </c>
      <c r="B24" s="29">
        <v>9781429276344</v>
      </c>
      <c r="C24" s="30" t="s">
        <v>7</v>
      </c>
      <c r="D24" s="31" t="s">
        <v>8</v>
      </c>
      <c r="E24" s="30"/>
      <c r="F24" s="32">
        <v>2012</v>
      </c>
      <c r="G24" s="19" t="s">
        <v>194</v>
      </c>
      <c r="H24" s="33">
        <v>2367</v>
      </c>
      <c r="I24" s="37">
        <v>20</v>
      </c>
      <c r="J24" s="59">
        <v>1894</v>
      </c>
      <c r="K24" s="44">
        <v>57.99</v>
      </c>
      <c r="L24" s="45" t="s">
        <v>272</v>
      </c>
      <c r="M24" s="26" t="s">
        <v>274</v>
      </c>
      <c r="N24" s="21" t="s">
        <v>1687</v>
      </c>
      <c r="O24" s="18">
        <v>802</v>
      </c>
      <c r="P24" s="19" t="s">
        <v>1676</v>
      </c>
    </row>
    <row r="25" spans="1:16" s="4" customFormat="1" x14ac:dyDescent="0.25">
      <c r="A25" s="64" t="s">
        <v>190</v>
      </c>
      <c r="B25" s="29">
        <v>9781429208925</v>
      </c>
      <c r="C25" s="30" t="s">
        <v>9</v>
      </c>
      <c r="D25" s="31" t="s">
        <v>1662</v>
      </c>
      <c r="E25" s="30"/>
      <c r="F25" s="32">
        <v>2008</v>
      </c>
      <c r="G25" s="19" t="s">
        <v>4</v>
      </c>
      <c r="H25" s="33">
        <v>2286</v>
      </c>
      <c r="I25" s="37">
        <v>25</v>
      </c>
      <c r="J25" s="59">
        <v>1715</v>
      </c>
      <c r="K25" s="42">
        <v>55.99</v>
      </c>
      <c r="L25" s="45" t="s">
        <v>272</v>
      </c>
      <c r="M25" s="26" t="s">
        <v>274</v>
      </c>
      <c r="N25" s="21" t="s">
        <v>1682</v>
      </c>
      <c r="O25" s="18">
        <v>1158</v>
      </c>
      <c r="P25" s="19" t="s">
        <v>1663</v>
      </c>
    </row>
    <row r="26" spans="1:16" s="4" customFormat="1" x14ac:dyDescent="0.25">
      <c r="A26" s="64" t="s">
        <v>190</v>
      </c>
      <c r="B26" s="34">
        <v>9781429254311</v>
      </c>
      <c r="C26" s="23" t="s">
        <v>197</v>
      </c>
      <c r="D26" s="24" t="s">
        <v>1673</v>
      </c>
      <c r="E26" s="23"/>
      <c r="F26" s="25">
        <v>2010</v>
      </c>
      <c r="G26" s="19" t="s">
        <v>194</v>
      </c>
      <c r="H26" s="27">
        <v>2122</v>
      </c>
      <c r="I26" s="37">
        <v>25</v>
      </c>
      <c r="J26" s="59">
        <v>1592</v>
      </c>
      <c r="K26" s="42">
        <v>51.99</v>
      </c>
      <c r="L26" s="45" t="s">
        <v>272</v>
      </c>
      <c r="M26" s="26" t="s">
        <v>274</v>
      </c>
      <c r="N26" s="21" t="s">
        <v>1686</v>
      </c>
      <c r="O26" s="35">
        <v>1266</v>
      </c>
      <c r="P26" s="19" t="s">
        <v>1674</v>
      </c>
    </row>
    <row r="27" spans="1:16" s="4" customFormat="1" x14ac:dyDescent="0.25">
      <c r="A27" s="64" t="s">
        <v>190</v>
      </c>
      <c r="B27" s="29">
        <v>9781429246453</v>
      </c>
      <c r="C27" s="30" t="s">
        <v>197</v>
      </c>
      <c r="D27" s="31" t="s">
        <v>198</v>
      </c>
      <c r="E27" s="30"/>
      <c r="F27" s="32">
        <v>2010</v>
      </c>
      <c r="G27" s="19" t="s">
        <v>194</v>
      </c>
      <c r="H27" s="33">
        <v>1102</v>
      </c>
      <c r="I27" s="37">
        <v>25</v>
      </c>
      <c r="J27" s="59">
        <v>827</v>
      </c>
      <c r="K27" s="44">
        <v>26.99</v>
      </c>
      <c r="L27" s="45" t="s">
        <v>272</v>
      </c>
      <c r="M27" s="19" t="s">
        <v>273</v>
      </c>
      <c r="N27" s="21" t="s">
        <v>1686</v>
      </c>
      <c r="O27" s="18">
        <v>350</v>
      </c>
      <c r="P27" s="19" t="s">
        <v>1672</v>
      </c>
    </row>
    <row r="28" spans="1:16" s="4" customFormat="1" x14ac:dyDescent="0.25">
      <c r="A28" s="64" t="s">
        <v>190</v>
      </c>
      <c r="B28" s="34">
        <v>9781429246446</v>
      </c>
      <c r="C28" s="23" t="s">
        <v>314</v>
      </c>
      <c r="D28" s="24" t="s">
        <v>316</v>
      </c>
      <c r="E28" s="23"/>
      <c r="F28" s="25">
        <v>2009</v>
      </c>
      <c r="G28" s="26" t="s">
        <v>194</v>
      </c>
      <c r="H28" s="33">
        <v>1020</v>
      </c>
      <c r="I28" s="37">
        <v>25</v>
      </c>
      <c r="J28" s="59">
        <v>765</v>
      </c>
      <c r="K28" s="44">
        <v>24.99</v>
      </c>
      <c r="L28" s="45" t="s">
        <v>272</v>
      </c>
      <c r="M28" s="19" t="s">
        <v>273</v>
      </c>
      <c r="N28" s="21" t="s">
        <v>1686</v>
      </c>
      <c r="O28" s="18">
        <v>350</v>
      </c>
      <c r="P28" s="19" t="s">
        <v>1671</v>
      </c>
    </row>
    <row r="29" spans="1:16" s="4" customFormat="1" x14ac:dyDescent="0.25">
      <c r="A29" s="64" t="s">
        <v>190</v>
      </c>
      <c r="B29" s="34">
        <v>9781429246477</v>
      </c>
      <c r="C29" s="23" t="s">
        <v>314</v>
      </c>
      <c r="D29" s="24" t="s">
        <v>315</v>
      </c>
      <c r="E29" s="23"/>
      <c r="F29" s="25">
        <v>2010</v>
      </c>
      <c r="G29" s="26" t="s">
        <v>194</v>
      </c>
      <c r="H29" s="33">
        <v>1020</v>
      </c>
      <c r="I29" s="37">
        <v>25</v>
      </c>
      <c r="J29" s="59">
        <v>765</v>
      </c>
      <c r="K29" s="44">
        <v>24.99</v>
      </c>
      <c r="L29" s="45" t="s">
        <v>272</v>
      </c>
      <c r="M29" s="19" t="s">
        <v>273</v>
      </c>
      <c r="N29" s="21" t="s">
        <v>1686</v>
      </c>
      <c r="O29" s="18">
        <v>350</v>
      </c>
      <c r="P29" s="19" t="s">
        <v>1671</v>
      </c>
    </row>
    <row r="30" spans="1:16" s="4" customFormat="1" x14ac:dyDescent="0.25">
      <c r="A30" s="63" t="s">
        <v>190</v>
      </c>
      <c r="B30" s="22">
        <v>9781464109812</v>
      </c>
      <c r="C30" s="23" t="s">
        <v>642</v>
      </c>
      <c r="D30" s="24" t="s">
        <v>641</v>
      </c>
      <c r="E30" s="23"/>
      <c r="F30" s="25">
        <v>2012</v>
      </c>
      <c r="G30" s="26" t="s">
        <v>1678</v>
      </c>
      <c r="H30" s="27">
        <v>2939</v>
      </c>
      <c r="I30" s="37">
        <v>20</v>
      </c>
      <c r="J30" s="59">
        <v>2351</v>
      </c>
      <c r="K30" s="42">
        <v>71.989999999999995</v>
      </c>
      <c r="L30" s="43" t="s">
        <v>272</v>
      </c>
      <c r="M30" s="26" t="s">
        <v>274</v>
      </c>
      <c r="N30" s="21" t="s">
        <v>1684</v>
      </c>
      <c r="O30" s="25">
        <v>973</v>
      </c>
      <c r="P30" s="28" t="s">
        <v>643</v>
      </c>
    </row>
    <row r="31" spans="1:16" s="4" customFormat="1" x14ac:dyDescent="0.25">
      <c r="A31" s="64" t="s">
        <v>190</v>
      </c>
      <c r="B31" s="34">
        <v>9780879017118</v>
      </c>
      <c r="C31" s="23" t="s">
        <v>336</v>
      </c>
      <c r="D31" s="24" t="s">
        <v>209</v>
      </c>
      <c r="E31" s="23"/>
      <c r="F31" s="25">
        <v>1993</v>
      </c>
      <c r="G31" s="26" t="s">
        <v>29</v>
      </c>
      <c r="H31" s="33">
        <v>1508</v>
      </c>
      <c r="I31" s="38">
        <v>30</v>
      </c>
      <c r="J31" s="59">
        <v>1056</v>
      </c>
      <c r="K31" s="44">
        <v>36.950000000000003</v>
      </c>
      <c r="L31" s="45" t="s">
        <v>272</v>
      </c>
      <c r="M31" s="19" t="s">
        <v>274</v>
      </c>
      <c r="N31" s="21" t="s">
        <v>1679</v>
      </c>
      <c r="O31" s="18">
        <v>1074</v>
      </c>
      <c r="P31" s="19"/>
    </row>
    <row r="32" spans="1:16" s="4" customFormat="1" x14ac:dyDescent="0.25">
      <c r="A32" s="63" t="s">
        <v>190</v>
      </c>
      <c r="B32" s="22">
        <v>9781429253352</v>
      </c>
      <c r="C32" s="23" t="s">
        <v>621</v>
      </c>
      <c r="D32" s="24" t="s">
        <v>201</v>
      </c>
      <c r="E32" s="23"/>
      <c r="F32" s="25">
        <v>2011</v>
      </c>
      <c r="G32" s="26" t="s">
        <v>1678</v>
      </c>
      <c r="H32" s="27">
        <v>1020</v>
      </c>
      <c r="I32" s="37">
        <v>25</v>
      </c>
      <c r="J32" s="59">
        <v>765</v>
      </c>
      <c r="K32" s="42">
        <v>24.99</v>
      </c>
      <c r="L32" s="43" t="s">
        <v>272</v>
      </c>
      <c r="M32" s="26" t="s">
        <v>274</v>
      </c>
      <c r="N32" s="21"/>
      <c r="O32" s="25">
        <v>279</v>
      </c>
      <c r="P32" s="28" t="s">
        <v>622</v>
      </c>
    </row>
    <row r="33" spans="1:16" s="4" customFormat="1" x14ac:dyDescent="0.25">
      <c r="A33" s="64" t="s">
        <v>1555</v>
      </c>
      <c r="B33" s="29">
        <v>9781403974990</v>
      </c>
      <c r="C33" s="30" t="s">
        <v>128</v>
      </c>
      <c r="D33" s="31" t="s">
        <v>1655</v>
      </c>
      <c r="E33" s="30" t="s">
        <v>1654</v>
      </c>
      <c r="F33" s="32">
        <v>2006</v>
      </c>
      <c r="G33" s="19" t="s">
        <v>4</v>
      </c>
      <c r="H33" s="33">
        <v>938</v>
      </c>
      <c r="I33" s="38">
        <v>30</v>
      </c>
      <c r="J33" s="59">
        <v>657</v>
      </c>
      <c r="K33" s="44">
        <v>22.99</v>
      </c>
      <c r="L33" s="45" t="s">
        <v>272</v>
      </c>
      <c r="M33" s="19" t="s">
        <v>274</v>
      </c>
      <c r="N33" s="29"/>
      <c r="O33" s="18">
        <v>256</v>
      </c>
      <c r="P33" s="19" t="s">
        <v>1656</v>
      </c>
    </row>
    <row r="34" spans="1:16" s="4" customFormat="1" x14ac:dyDescent="0.25">
      <c r="A34" s="64" t="s">
        <v>1555</v>
      </c>
      <c r="B34" s="29">
        <v>9780230342200</v>
      </c>
      <c r="C34" s="30" t="s">
        <v>255</v>
      </c>
      <c r="D34" s="31" t="s">
        <v>256</v>
      </c>
      <c r="E34" s="30" t="s">
        <v>1553</v>
      </c>
      <c r="F34" s="32">
        <v>2013</v>
      </c>
      <c r="G34" s="19" t="s">
        <v>4</v>
      </c>
      <c r="H34" s="33">
        <v>751</v>
      </c>
      <c r="I34" s="37">
        <v>20</v>
      </c>
      <c r="J34" s="59">
        <v>601</v>
      </c>
      <c r="K34" s="44">
        <v>17.989999999999998</v>
      </c>
      <c r="L34" s="45" t="s">
        <v>272</v>
      </c>
      <c r="M34" s="19" t="s">
        <v>274</v>
      </c>
      <c r="N34" s="29"/>
      <c r="O34" s="18">
        <v>256</v>
      </c>
      <c r="P34" s="19" t="s">
        <v>1554</v>
      </c>
    </row>
    <row r="35" spans="1:16" s="4" customFormat="1" x14ac:dyDescent="0.25">
      <c r="A35" s="62" t="s">
        <v>1693</v>
      </c>
      <c r="B35" s="12">
        <v>9780230236011</v>
      </c>
      <c r="C35" s="13" t="s">
        <v>853</v>
      </c>
      <c r="D35" s="14" t="str">
        <f>HYPERLINK("http://www.springer.com/gp/book/9780230236011","21st Century Keynesian Economics")</f>
        <v>21st Century Keynesian Economics</v>
      </c>
      <c r="E35" s="20"/>
      <c r="F35" s="15" t="s">
        <v>688</v>
      </c>
      <c r="G35" s="16" t="s">
        <v>1525</v>
      </c>
      <c r="H35" s="17">
        <v>3599</v>
      </c>
      <c r="I35" s="37">
        <v>25</v>
      </c>
      <c r="J35" s="59">
        <v>2699</v>
      </c>
      <c r="K35" s="40">
        <v>114.99</v>
      </c>
      <c r="L35" s="41" t="s">
        <v>275</v>
      </c>
      <c r="M35" s="26" t="s">
        <v>274</v>
      </c>
      <c r="N35" s="11"/>
      <c r="O35" s="15"/>
      <c r="P35" s="16"/>
    </row>
    <row r="36" spans="1:16" s="4" customFormat="1" x14ac:dyDescent="0.25">
      <c r="A36" s="62" t="s">
        <v>1693</v>
      </c>
      <c r="B36" s="12">
        <v>9780230297890</v>
      </c>
      <c r="C36" s="13" t="s">
        <v>750</v>
      </c>
      <c r="D36" s="14" t="str">
        <f>HYPERLINK("http://www.springer.com/gp/book/9780230297890","21st Century Management")</f>
        <v>21st Century Management</v>
      </c>
      <c r="E36" s="20" t="s">
        <v>751</v>
      </c>
      <c r="F36" s="15" t="s">
        <v>752</v>
      </c>
      <c r="G36" s="16" t="s">
        <v>1525</v>
      </c>
      <c r="H36" s="17">
        <v>1282</v>
      </c>
      <c r="I36" s="37">
        <v>20</v>
      </c>
      <c r="J36" s="59">
        <v>1026</v>
      </c>
      <c r="K36" s="40">
        <v>39.99</v>
      </c>
      <c r="L36" s="41" t="s">
        <v>275</v>
      </c>
      <c r="M36" s="26" t="s">
        <v>274</v>
      </c>
      <c r="N36" s="11"/>
      <c r="O36" s="15"/>
      <c r="P36" s="16"/>
    </row>
    <row r="37" spans="1:16" s="4" customFormat="1" x14ac:dyDescent="0.25">
      <c r="A37" s="62" t="s">
        <v>1693</v>
      </c>
      <c r="B37" s="29">
        <v>9780230389144</v>
      </c>
      <c r="C37" s="30" t="s">
        <v>35</v>
      </c>
      <c r="D37" s="31" t="s">
        <v>36</v>
      </c>
      <c r="E37" s="30" t="s">
        <v>1560</v>
      </c>
      <c r="F37" s="32">
        <v>2012</v>
      </c>
      <c r="G37" s="19" t="s">
        <v>4</v>
      </c>
      <c r="H37" s="33">
        <v>2898</v>
      </c>
      <c r="I37" s="37">
        <v>20</v>
      </c>
      <c r="J37" s="59">
        <v>2318</v>
      </c>
      <c r="K37" s="44">
        <v>71</v>
      </c>
      <c r="L37" s="45" t="s">
        <v>272</v>
      </c>
      <c r="M37" s="19" t="s">
        <v>274</v>
      </c>
      <c r="N37" s="29"/>
      <c r="O37" s="18">
        <v>232</v>
      </c>
      <c r="P37" s="19" t="s">
        <v>1561</v>
      </c>
    </row>
    <row r="38" spans="1:16" s="4" customFormat="1" x14ac:dyDescent="0.25">
      <c r="A38" s="62" t="s">
        <v>1693</v>
      </c>
      <c r="B38" s="12">
        <v>9780230108349</v>
      </c>
      <c r="C38" s="13" t="s">
        <v>284</v>
      </c>
      <c r="D38" s="14" t="str">
        <f>HYPERLINK("http://www.springer.com/gp/book/9780230108349","Academic Freedom in the Post-9/11 Era")</f>
        <v>Academic Freedom in the Post-9/11 Era</v>
      </c>
      <c r="E38" s="20"/>
      <c r="F38" s="15" t="s">
        <v>688</v>
      </c>
      <c r="G38" s="16" t="s">
        <v>1525</v>
      </c>
      <c r="H38" s="17">
        <v>3286</v>
      </c>
      <c r="I38" s="37">
        <v>25</v>
      </c>
      <c r="J38" s="59">
        <v>2465</v>
      </c>
      <c r="K38" s="40">
        <v>104.99</v>
      </c>
      <c r="L38" s="41" t="s">
        <v>275</v>
      </c>
      <c r="M38" s="26" t="s">
        <v>274</v>
      </c>
      <c r="N38" s="11"/>
      <c r="O38" s="15"/>
      <c r="P38" s="16"/>
    </row>
    <row r="39" spans="1:16" s="4" customFormat="1" x14ac:dyDescent="0.25">
      <c r="A39" s="62" t="s">
        <v>1693</v>
      </c>
      <c r="B39" s="12">
        <v>9780230019164</v>
      </c>
      <c r="C39" s="13" t="s">
        <v>728</v>
      </c>
      <c r="D39" s="14" t="str">
        <f>HYPERLINK("http://www.springer.com/gp/book/9780230019164","Advances in Risk Management")</f>
        <v>Advances in Risk Management</v>
      </c>
      <c r="E39" s="20"/>
      <c r="F39" s="15" t="s">
        <v>729</v>
      </c>
      <c r="G39" s="16" t="s">
        <v>1525</v>
      </c>
      <c r="H39" s="17">
        <v>9359</v>
      </c>
      <c r="I39" s="38">
        <v>30</v>
      </c>
      <c r="J39" s="59">
        <v>6551</v>
      </c>
      <c r="K39" s="40">
        <v>299</v>
      </c>
      <c r="L39" s="41" t="s">
        <v>275</v>
      </c>
      <c r="M39" s="26" t="s">
        <v>274</v>
      </c>
      <c r="N39" s="11"/>
      <c r="O39" s="15"/>
      <c r="P39" s="16"/>
    </row>
    <row r="40" spans="1:16" s="4" customFormat="1" x14ac:dyDescent="0.25">
      <c r="A40" s="62" t="s">
        <v>1693</v>
      </c>
      <c r="B40" s="12">
        <v>9780230019041</v>
      </c>
      <c r="C40" s="13" t="s">
        <v>903</v>
      </c>
      <c r="D40" s="14" t="str">
        <f>HYPERLINK("http://www.springer.com/gp/book/9780230019041","Advancing Development")</f>
        <v>Advancing Development</v>
      </c>
      <c r="E40" s="20" t="s">
        <v>904</v>
      </c>
      <c r="F40" s="15" t="s">
        <v>729</v>
      </c>
      <c r="G40" s="16" t="s">
        <v>1525</v>
      </c>
      <c r="H40" s="17">
        <v>1922</v>
      </c>
      <c r="I40" s="38">
        <v>30</v>
      </c>
      <c r="J40" s="59">
        <v>1345</v>
      </c>
      <c r="K40" s="40">
        <v>59.99</v>
      </c>
      <c r="L40" s="41" t="s">
        <v>275</v>
      </c>
      <c r="M40" s="19" t="s">
        <v>273</v>
      </c>
      <c r="N40" s="11"/>
      <c r="O40" s="15"/>
      <c r="P40" s="16"/>
    </row>
    <row r="41" spans="1:16" s="4" customFormat="1" x14ac:dyDescent="0.25">
      <c r="A41" s="62" t="s">
        <v>1693</v>
      </c>
      <c r="B41" s="12">
        <v>9780230245921</v>
      </c>
      <c r="C41" s="13" t="s">
        <v>787</v>
      </c>
      <c r="D41" s="14" t="str">
        <f>HYPERLINK("http://www.springer.com/gp/book/9780230245921","Aesthetic Communication")</f>
        <v>Aesthetic Communication</v>
      </c>
      <c r="E41" s="20"/>
      <c r="F41" s="15" t="s">
        <v>714</v>
      </c>
      <c r="G41" s="16" t="s">
        <v>1525</v>
      </c>
      <c r="H41" s="17">
        <v>3599</v>
      </c>
      <c r="I41" s="37">
        <v>25</v>
      </c>
      <c r="J41" s="59">
        <v>2699</v>
      </c>
      <c r="K41" s="40">
        <v>114.99</v>
      </c>
      <c r="L41" s="41" t="s">
        <v>275</v>
      </c>
      <c r="M41" s="26" t="s">
        <v>274</v>
      </c>
      <c r="N41" s="11"/>
      <c r="O41" s="15"/>
      <c r="P41" s="16"/>
    </row>
    <row r="42" spans="1:16" s="4" customFormat="1" x14ac:dyDescent="0.25">
      <c r="A42" s="62" t="s">
        <v>1693</v>
      </c>
      <c r="B42" s="29">
        <v>9780230271821</v>
      </c>
      <c r="C42" s="30" t="s">
        <v>236</v>
      </c>
      <c r="D42" s="31" t="s">
        <v>237</v>
      </c>
      <c r="E42" s="30"/>
      <c r="F42" s="32">
        <v>2011</v>
      </c>
      <c r="G42" s="19" t="s">
        <v>4</v>
      </c>
      <c r="H42" s="33">
        <v>1714</v>
      </c>
      <c r="I42" s="37">
        <v>25</v>
      </c>
      <c r="J42" s="59">
        <v>1286</v>
      </c>
      <c r="K42" s="44">
        <v>41.99</v>
      </c>
      <c r="L42" s="45" t="s">
        <v>272</v>
      </c>
      <c r="M42" s="19" t="s">
        <v>273</v>
      </c>
      <c r="N42" s="21" t="s">
        <v>1679</v>
      </c>
      <c r="O42" s="18">
        <v>528</v>
      </c>
      <c r="P42" s="36" t="s">
        <v>1542</v>
      </c>
    </row>
    <row r="43" spans="1:16" s="4" customFormat="1" x14ac:dyDescent="0.25">
      <c r="A43" s="62" t="s">
        <v>1693</v>
      </c>
      <c r="B43" s="12">
        <v>9781137379917</v>
      </c>
      <c r="C43" s="13" t="s">
        <v>723</v>
      </c>
      <c r="D43" s="14" t="str">
        <f>HYPERLINK("http://www.springer.com/gp/book/9781137379917","Applying Relational Sociology")</f>
        <v>Applying Relational Sociology</v>
      </c>
      <c r="E43" s="20" t="s">
        <v>724</v>
      </c>
      <c r="F43" s="15" t="s">
        <v>700</v>
      </c>
      <c r="G43" s="16" t="s">
        <v>1525</v>
      </c>
      <c r="H43" s="17">
        <v>2817</v>
      </c>
      <c r="I43" s="37">
        <v>20</v>
      </c>
      <c r="J43" s="59">
        <v>2254</v>
      </c>
      <c r="K43" s="40">
        <v>89.99</v>
      </c>
      <c r="L43" s="41" t="s">
        <v>275</v>
      </c>
      <c r="M43" s="26" t="s">
        <v>274</v>
      </c>
      <c r="N43" s="11"/>
      <c r="O43" s="15"/>
      <c r="P43" s="16"/>
    </row>
    <row r="44" spans="1:16" s="4" customFormat="1" x14ac:dyDescent="0.25">
      <c r="A44" s="62" t="s">
        <v>1693</v>
      </c>
      <c r="B44" s="12">
        <v>9780230538085</v>
      </c>
      <c r="C44" s="13" t="s">
        <v>905</v>
      </c>
      <c r="D44" s="14" t="str">
        <f>HYPERLINK("http://www.springer.com/gp/book/9780230538085","Asymmetry and Aggregation in the EU")</f>
        <v>Asymmetry and Aggregation in the EU</v>
      </c>
      <c r="E44" s="20"/>
      <c r="F44" s="15" t="s">
        <v>714</v>
      </c>
      <c r="G44" s="16" t="s">
        <v>1525</v>
      </c>
      <c r="H44" s="17">
        <v>3599</v>
      </c>
      <c r="I44" s="37">
        <v>25</v>
      </c>
      <c r="J44" s="59">
        <v>2699</v>
      </c>
      <c r="K44" s="40">
        <v>114.99</v>
      </c>
      <c r="L44" s="41" t="s">
        <v>275</v>
      </c>
      <c r="M44" s="26" t="s">
        <v>274</v>
      </c>
      <c r="N44" s="11"/>
      <c r="O44" s="15"/>
      <c r="P44" s="16"/>
    </row>
    <row r="45" spans="1:16" s="4" customFormat="1" x14ac:dyDescent="0.25">
      <c r="A45" s="62" t="s">
        <v>1693</v>
      </c>
      <c r="B45" s="12">
        <v>9780230573895</v>
      </c>
      <c r="C45" s="13" t="s">
        <v>919</v>
      </c>
      <c r="D45" s="14" t="str">
        <f>HYPERLINK("http://www.springer.com/gp/book/9780230573895","Authority in the Global Political Economy")</f>
        <v>Authority in the Global Political Economy</v>
      </c>
      <c r="E45" s="20"/>
      <c r="F45" s="15" t="s">
        <v>705</v>
      </c>
      <c r="G45" s="16" t="s">
        <v>1525</v>
      </c>
      <c r="H45" s="17">
        <v>3912</v>
      </c>
      <c r="I45" s="37">
        <v>25</v>
      </c>
      <c r="J45" s="59">
        <v>2934</v>
      </c>
      <c r="K45" s="40">
        <v>124.99</v>
      </c>
      <c r="L45" s="41" t="s">
        <v>275</v>
      </c>
      <c r="M45" s="26" t="s">
        <v>274</v>
      </c>
      <c r="N45" s="11"/>
      <c r="O45" s="15"/>
      <c r="P45" s="16"/>
    </row>
    <row r="46" spans="1:16" s="4" customFormat="1" x14ac:dyDescent="0.25">
      <c r="A46" s="62" t="s">
        <v>1693</v>
      </c>
      <c r="B46" s="12">
        <v>9780230278585</v>
      </c>
      <c r="C46" s="13" t="s">
        <v>737</v>
      </c>
      <c r="D46" s="14" t="str">
        <f>HYPERLINK("http://www.springer.com/gp/book/9780230278585","Autopoietic Knowledge Systems in Project-Based Companies")</f>
        <v>Autopoietic Knowledge Systems in Project-Based Companies</v>
      </c>
      <c r="E46" s="20"/>
      <c r="F46" s="15" t="s">
        <v>688</v>
      </c>
      <c r="G46" s="16" t="s">
        <v>1525</v>
      </c>
      <c r="H46" s="17">
        <v>3286</v>
      </c>
      <c r="I46" s="37">
        <v>25</v>
      </c>
      <c r="J46" s="59">
        <v>2465</v>
      </c>
      <c r="K46" s="40">
        <v>104.99</v>
      </c>
      <c r="L46" s="41" t="s">
        <v>275</v>
      </c>
      <c r="M46" s="26" t="s">
        <v>274</v>
      </c>
      <c r="N46" s="11"/>
      <c r="O46" s="15"/>
      <c r="P46" s="16"/>
    </row>
    <row r="47" spans="1:16" s="4" customFormat="1" x14ac:dyDescent="0.25">
      <c r="A47" s="62" t="s">
        <v>1693</v>
      </c>
      <c r="B47" s="12">
        <v>9780230235250</v>
      </c>
      <c r="C47" s="13" t="s">
        <v>929</v>
      </c>
      <c r="D47" s="14" t="str">
        <f>HYPERLINK("http://www.springer.com/gp/book/9780230235250","Building Decent Societies")</f>
        <v>Building Decent Societies</v>
      </c>
      <c r="E47" s="20" t="s">
        <v>930</v>
      </c>
      <c r="F47" s="15" t="s">
        <v>696</v>
      </c>
      <c r="G47" s="16" t="s">
        <v>1525</v>
      </c>
      <c r="H47" s="17">
        <v>3756</v>
      </c>
      <c r="I47" s="37">
        <v>25</v>
      </c>
      <c r="J47" s="59">
        <v>2817</v>
      </c>
      <c r="K47" s="40">
        <v>119.99</v>
      </c>
      <c r="L47" s="41" t="s">
        <v>275</v>
      </c>
      <c r="M47" s="26" t="s">
        <v>274</v>
      </c>
      <c r="N47" s="11"/>
      <c r="O47" s="15"/>
      <c r="P47" s="16"/>
    </row>
    <row r="48" spans="1:16" s="4" customFormat="1" x14ac:dyDescent="0.25">
      <c r="A48" s="62" t="s">
        <v>1693</v>
      </c>
      <c r="B48" s="12">
        <v>9780230292635</v>
      </c>
      <c r="C48" s="13" t="s">
        <v>719</v>
      </c>
      <c r="D48" s="14" t="str">
        <f>HYPERLINK("http://www.springer.com/gp/book/9780230292635","Business for the 21st Century")</f>
        <v>Business for the 21st Century</v>
      </c>
      <c r="E48" s="20" t="s">
        <v>720</v>
      </c>
      <c r="F48" s="15" t="s">
        <v>714</v>
      </c>
      <c r="G48" s="16" t="s">
        <v>1525</v>
      </c>
      <c r="H48" s="17">
        <v>3130</v>
      </c>
      <c r="I48" s="37">
        <v>25</v>
      </c>
      <c r="J48" s="59">
        <v>2348</v>
      </c>
      <c r="K48" s="40">
        <v>99.99</v>
      </c>
      <c r="L48" s="41" t="s">
        <v>275</v>
      </c>
      <c r="M48" s="26" t="s">
        <v>274</v>
      </c>
      <c r="N48" s="11"/>
      <c r="O48" s="15"/>
      <c r="P48" s="16"/>
    </row>
    <row r="49" spans="1:16" s="4" customFormat="1" x14ac:dyDescent="0.25">
      <c r="A49" s="62" t="s">
        <v>1693</v>
      </c>
      <c r="B49" s="22">
        <v>9780333921951</v>
      </c>
      <c r="C49" s="23" t="s">
        <v>521</v>
      </c>
      <c r="D49" s="24" t="s">
        <v>520</v>
      </c>
      <c r="E49" s="23"/>
      <c r="F49" s="25">
        <v>2002</v>
      </c>
      <c r="G49" s="26" t="s">
        <v>1678</v>
      </c>
      <c r="H49" s="27">
        <v>1877</v>
      </c>
      <c r="I49" s="38">
        <v>30</v>
      </c>
      <c r="J49" s="59">
        <v>1314</v>
      </c>
      <c r="K49" s="42">
        <v>45.99</v>
      </c>
      <c r="L49" s="43" t="s">
        <v>272</v>
      </c>
      <c r="M49" s="26" t="s">
        <v>273</v>
      </c>
      <c r="N49" s="21" t="s">
        <v>1679</v>
      </c>
      <c r="O49" s="25">
        <v>496</v>
      </c>
      <c r="P49" s="28" t="s">
        <v>522</v>
      </c>
    </row>
    <row r="50" spans="1:16" s="4" customFormat="1" x14ac:dyDescent="0.25">
      <c r="A50" s="62" t="s">
        <v>1693</v>
      </c>
      <c r="B50" s="12">
        <v>9780230355255</v>
      </c>
      <c r="C50" s="13" t="s">
        <v>900</v>
      </c>
      <c r="D50" s="14" t="str">
        <f>HYPERLINK("http://www.springer.com/gp/book/9780230355255","Central and East European Migrants' Contributions to Social Protection")</f>
        <v>Central and East European Migrants' Contributions to Social Protection</v>
      </c>
      <c r="E50" s="20"/>
      <c r="F50" s="15" t="s">
        <v>700</v>
      </c>
      <c r="G50" s="16" t="s">
        <v>1525</v>
      </c>
      <c r="H50" s="17">
        <v>2817</v>
      </c>
      <c r="I50" s="37">
        <v>20</v>
      </c>
      <c r="J50" s="59">
        <v>2254</v>
      </c>
      <c r="K50" s="40">
        <v>89.99</v>
      </c>
      <c r="L50" s="41" t="s">
        <v>275</v>
      </c>
      <c r="M50" s="26" t="s">
        <v>274</v>
      </c>
      <c r="N50" s="11"/>
      <c r="O50" s="15"/>
      <c r="P50" s="16"/>
    </row>
    <row r="51" spans="1:16" s="4" customFormat="1" x14ac:dyDescent="0.25">
      <c r="A51" s="62" t="s">
        <v>1693</v>
      </c>
      <c r="B51" s="12">
        <v>9780230580893</v>
      </c>
      <c r="C51" s="13" t="s">
        <v>857</v>
      </c>
      <c r="D51" s="14" t="str">
        <f>HYPERLINK("http://www.springer.com/gp/book/9780230580893","Central Bank Reserves and Sovereign Wealth Management")</f>
        <v>Central Bank Reserves and Sovereign Wealth Management</v>
      </c>
      <c r="E51" s="20"/>
      <c r="F51" s="15" t="s">
        <v>688</v>
      </c>
      <c r="G51" s="16" t="s">
        <v>1525</v>
      </c>
      <c r="H51" s="17">
        <v>4069</v>
      </c>
      <c r="I51" s="37">
        <v>25</v>
      </c>
      <c r="J51" s="59">
        <v>3052</v>
      </c>
      <c r="K51" s="40">
        <v>129.99</v>
      </c>
      <c r="L51" s="41" t="s">
        <v>275</v>
      </c>
      <c r="M51" s="26" t="s">
        <v>274</v>
      </c>
      <c r="N51" s="11"/>
      <c r="O51" s="15"/>
      <c r="P51" s="16"/>
    </row>
    <row r="52" spans="1:16" s="4" customFormat="1" x14ac:dyDescent="0.25">
      <c r="A52" s="62" t="s">
        <v>1693</v>
      </c>
      <c r="B52" s="12">
        <v>9780230233225</v>
      </c>
      <c r="C52" s="13" t="s">
        <v>697</v>
      </c>
      <c r="D52" s="14" t="str">
        <f>HYPERLINK("http://www.springer.com/gp/book/9780230233225","Consolidation in the European Financial Industry")</f>
        <v>Consolidation in the European Financial Industry</v>
      </c>
      <c r="E52" s="20"/>
      <c r="F52" s="15" t="s">
        <v>688</v>
      </c>
      <c r="G52" s="16" t="s">
        <v>1525</v>
      </c>
      <c r="H52" s="17">
        <v>3599</v>
      </c>
      <c r="I52" s="37">
        <v>25</v>
      </c>
      <c r="J52" s="59">
        <v>2699</v>
      </c>
      <c r="K52" s="40">
        <v>114.99</v>
      </c>
      <c r="L52" s="41" t="s">
        <v>275</v>
      </c>
      <c r="M52" s="26" t="s">
        <v>274</v>
      </c>
      <c r="N52" s="11"/>
      <c r="O52" s="15"/>
      <c r="P52" s="16"/>
    </row>
    <row r="53" spans="1:16" s="4" customFormat="1" x14ac:dyDescent="0.25">
      <c r="A53" s="62" t="s">
        <v>1693</v>
      </c>
      <c r="B53" s="12">
        <v>9780230576773</v>
      </c>
      <c r="C53" s="13" t="s">
        <v>993</v>
      </c>
      <c r="D53" s="14" t="str">
        <f>HYPERLINK("http://www.springer.com/gp/book/9780230576773","Cooperative Banking in Europe: Case Studies")</f>
        <v>Cooperative Banking in Europe: Case Studies</v>
      </c>
      <c r="E53" s="20"/>
      <c r="F53" s="15" t="s">
        <v>688</v>
      </c>
      <c r="G53" s="16" t="s">
        <v>1525</v>
      </c>
      <c r="H53" s="17">
        <v>3286</v>
      </c>
      <c r="I53" s="37">
        <v>25</v>
      </c>
      <c r="J53" s="59">
        <v>2465</v>
      </c>
      <c r="K53" s="40">
        <v>104.99</v>
      </c>
      <c r="L53" s="41" t="s">
        <v>275</v>
      </c>
      <c r="M53" s="26" t="s">
        <v>274</v>
      </c>
      <c r="N53" s="11"/>
      <c r="O53" s="15"/>
      <c r="P53" s="16"/>
    </row>
    <row r="54" spans="1:16" s="4" customFormat="1" x14ac:dyDescent="0.25">
      <c r="A54" s="62" t="s">
        <v>1693</v>
      </c>
      <c r="B54" s="29">
        <v>9780230542631</v>
      </c>
      <c r="C54" s="30" t="s">
        <v>55</v>
      </c>
      <c r="D54" s="31" t="s">
        <v>56</v>
      </c>
      <c r="E54" s="30" t="s">
        <v>1563</v>
      </c>
      <c r="F54" s="32">
        <v>2008</v>
      </c>
      <c r="G54" s="19" t="s">
        <v>4</v>
      </c>
      <c r="H54" s="33">
        <v>1714</v>
      </c>
      <c r="I54" s="37">
        <v>25</v>
      </c>
      <c r="J54" s="59">
        <v>1286</v>
      </c>
      <c r="K54" s="44">
        <v>41.99</v>
      </c>
      <c r="L54" s="45" t="s">
        <v>272</v>
      </c>
      <c r="M54" s="19" t="s">
        <v>273</v>
      </c>
      <c r="N54" s="21" t="s">
        <v>1679</v>
      </c>
      <c r="O54" s="18">
        <v>416</v>
      </c>
      <c r="P54" s="19" t="s">
        <v>1564</v>
      </c>
    </row>
    <row r="55" spans="1:16" s="4" customFormat="1" x14ac:dyDescent="0.25">
      <c r="A55" s="62" t="s">
        <v>1693</v>
      </c>
      <c r="B55" s="12">
        <v>9780230203396</v>
      </c>
      <c r="C55" s="13" t="s">
        <v>782</v>
      </c>
      <c r="D55" s="14" t="str">
        <f>HYPERLINK("http://www.springer.com/gp/book/9780230203396","Corporate Governance and International Business")</f>
        <v>Corporate Governance and International Business</v>
      </c>
      <c r="E55" s="20" t="s">
        <v>783</v>
      </c>
      <c r="F55" s="15" t="s">
        <v>705</v>
      </c>
      <c r="G55" s="16" t="s">
        <v>1525</v>
      </c>
      <c r="H55" s="17">
        <v>3443</v>
      </c>
      <c r="I55" s="37">
        <v>25</v>
      </c>
      <c r="J55" s="59">
        <v>2582</v>
      </c>
      <c r="K55" s="40">
        <v>109.99</v>
      </c>
      <c r="L55" s="41" t="s">
        <v>275</v>
      </c>
      <c r="M55" s="26" t="s">
        <v>274</v>
      </c>
      <c r="N55" s="11"/>
      <c r="O55" s="15"/>
      <c r="P55" s="16"/>
    </row>
    <row r="56" spans="1:16" s="4" customFormat="1" x14ac:dyDescent="0.25">
      <c r="A56" s="62" t="s">
        <v>1693</v>
      </c>
      <c r="B56" s="12">
        <v>9780230546998</v>
      </c>
      <c r="C56" s="13" t="s">
        <v>891</v>
      </c>
      <c r="D56" s="14" t="str">
        <f>HYPERLINK("http://www.springer.com/gp/book/9780230546998","Corruption, Development and Institutional Design")</f>
        <v>Corruption, Development and Institutional Design</v>
      </c>
      <c r="E56" s="20"/>
      <c r="F56" s="15" t="s">
        <v>696</v>
      </c>
      <c r="G56" s="16" t="s">
        <v>1525</v>
      </c>
      <c r="H56" s="17">
        <v>4069</v>
      </c>
      <c r="I56" s="37">
        <v>25</v>
      </c>
      <c r="J56" s="59">
        <v>3052</v>
      </c>
      <c r="K56" s="40">
        <v>129.99</v>
      </c>
      <c r="L56" s="41" t="s">
        <v>275</v>
      </c>
      <c r="M56" s="26" t="s">
        <v>274</v>
      </c>
      <c r="N56" s="11"/>
      <c r="O56" s="15"/>
      <c r="P56" s="16"/>
    </row>
    <row r="57" spans="1:16" s="4" customFormat="1" x14ac:dyDescent="0.25">
      <c r="A57" s="62" t="s">
        <v>1693</v>
      </c>
      <c r="B57" s="12">
        <v>9780230109506</v>
      </c>
      <c r="C57" s="13" t="s">
        <v>785</v>
      </c>
      <c r="D57" s="14" t="str">
        <f>HYPERLINK("http://www.springer.com/gp/book/9780230109506","Cracking the Carbon Code")</f>
        <v>Cracking the Carbon Code</v>
      </c>
      <c r="E57" s="20" t="s">
        <v>786</v>
      </c>
      <c r="F57" s="15" t="s">
        <v>714</v>
      </c>
      <c r="G57" s="16" t="s">
        <v>1525</v>
      </c>
      <c r="H57" s="17">
        <v>1121</v>
      </c>
      <c r="I57" s="37">
        <v>25</v>
      </c>
      <c r="J57" s="59">
        <v>841</v>
      </c>
      <c r="K57" s="40">
        <v>34.99</v>
      </c>
      <c r="L57" s="41" t="s">
        <v>275</v>
      </c>
      <c r="M57" s="26" t="s">
        <v>274</v>
      </c>
      <c r="N57" s="11"/>
      <c r="O57" s="15"/>
      <c r="P57" s="16"/>
    </row>
    <row r="58" spans="1:16" s="4" customFormat="1" x14ac:dyDescent="0.25">
      <c r="A58" s="62" t="s">
        <v>1693</v>
      </c>
      <c r="B58" s="12">
        <v>9780230298316</v>
      </c>
      <c r="C58" s="13" t="s">
        <v>784</v>
      </c>
      <c r="D58" s="14" t="str">
        <f>HYPERLINK("http://www.springer.com/gp/book/9780230298316","Crisis: Cause, Containment and Cure")</f>
        <v>Crisis: Cause, Containment and Cure</v>
      </c>
      <c r="E58" s="20"/>
      <c r="F58" s="15" t="s">
        <v>714</v>
      </c>
      <c r="G58" s="16" t="s">
        <v>1525</v>
      </c>
      <c r="H58" s="17">
        <v>961</v>
      </c>
      <c r="I58" s="37">
        <v>25</v>
      </c>
      <c r="J58" s="59">
        <v>721</v>
      </c>
      <c r="K58" s="40">
        <v>29.99</v>
      </c>
      <c r="L58" s="41" t="s">
        <v>275</v>
      </c>
      <c r="M58" s="19" t="s">
        <v>273</v>
      </c>
      <c r="N58" s="21" t="s">
        <v>1679</v>
      </c>
      <c r="O58" s="15"/>
      <c r="P58" s="16"/>
    </row>
    <row r="59" spans="1:16" s="4" customFormat="1" x14ac:dyDescent="0.25">
      <c r="A59" s="62" t="s">
        <v>1693</v>
      </c>
      <c r="B59" s="12">
        <v>9780230236189</v>
      </c>
      <c r="C59" s="13" t="s">
        <v>886</v>
      </c>
      <c r="D59" s="14" t="str">
        <f>HYPERLINK("http://www.springer.com/gp/book/9780230236189","Crisis: Cause, Containment and Cure")</f>
        <v>Crisis: Cause, Containment and Cure</v>
      </c>
      <c r="E59" s="20"/>
      <c r="F59" s="15" t="s">
        <v>688</v>
      </c>
      <c r="G59" s="16" t="s">
        <v>1525</v>
      </c>
      <c r="H59" s="17">
        <v>3599</v>
      </c>
      <c r="I59" s="37">
        <v>25</v>
      </c>
      <c r="J59" s="59">
        <v>2699</v>
      </c>
      <c r="K59" s="40">
        <v>114.99</v>
      </c>
      <c r="L59" s="41" t="s">
        <v>275</v>
      </c>
      <c r="M59" s="26" t="s">
        <v>274</v>
      </c>
      <c r="N59" s="11"/>
      <c r="O59" s="15"/>
      <c r="P59" s="16"/>
    </row>
    <row r="60" spans="1:16" s="4" customFormat="1" x14ac:dyDescent="0.25">
      <c r="A60" s="62" t="s">
        <v>1693</v>
      </c>
      <c r="B60" s="12">
        <v>9780230238251</v>
      </c>
      <c r="C60" s="13" t="s">
        <v>736</v>
      </c>
      <c r="D60" s="14" t="str">
        <f>HYPERLINK("http://www.springer.com/gp/book/9780230238251","Critical Management Ethics")</f>
        <v>Critical Management Ethics</v>
      </c>
      <c r="E60" s="20"/>
      <c r="F60" s="15" t="s">
        <v>688</v>
      </c>
      <c r="G60" s="16" t="s">
        <v>1525</v>
      </c>
      <c r="H60" s="17">
        <v>3599</v>
      </c>
      <c r="I60" s="37">
        <v>25</v>
      </c>
      <c r="J60" s="59">
        <v>2699</v>
      </c>
      <c r="K60" s="40">
        <v>114.99</v>
      </c>
      <c r="L60" s="41" t="s">
        <v>275</v>
      </c>
      <c r="M60" s="26" t="s">
        <v>274</v>
      </c>
      <c r="N60" s="11"/>
      <c r="O60" s="15"/>
      <c r="P60" s="16"/>
    </row>
    <row r="61" spans="1:16" s="4" customFormat="1" x14ac:dyDescent="0.25">
      <c r="A61" s="62" t="s">
        <v>1693</v>
      </c>
      <c r="B61" s="12">
        <v>9781137293244</v>
      </c>
      <c r="C61" s="13" t="s">
        <v>717</v>
      </c>
      <c r="D61" s="14" t="str">
        <f>HYPERLINK("http://www.springer.com/gp/book/9781137293244","Customers at Work")</f>
        <v>Customers at Work</v>
      </c>
      <c r="E61" s="20" t="s">
        <v>718</v>
      </c>
      <c r="F61" s="15" t="s">
        <v>700</v>
      </c>
      <c r="G61" s="16" t="s">
        <v>1525</v>
      </c>
      <c r="H61" s="17">
        <v>3130</v>
      </c>
      <c r="I61" s="37">
        <v>20</v>
      </c>
      <c r="J61" s="59">
        <v>2504</v>
      </c>
      <c r="K61" s="40">
        <v>99.99</v>
      </c>
      <c r="L61" s="41" t="s">
        <v>275</v>
      </c>
      <c r="M61" s="26" t="s">
        <v>274</v>
      </c>
      <c r="N61" s="11"/>
      <c r="O61" s="15"/>
      <c r="P61" s="16"/>
    </row>
    <row r="62" spans="1:16" s="4" customFormat="1" x14ac:dyDescent="0.25">
      <c r="A62" s="62" t="s">
        <v>1693</v>
      </c>
      <c r="B62" s="12">
        <v>9780230110762</v>
      </c>
      <c r="C62" s="13" t="s">
        <v>860</v>
      </c>
      <c r="D62" s="14" t="str">
        <f>HYPERLINK("http://www.springer.com/gp/book/9780230110762","Delivering Development")</f>
        <v>Delivering Development</v>
      </c>
      <c r="E62" s="20" t="s">
        <v>861</v>
      </c>
      <c r="F62" s="15" t="s">
        <v>714</v>
      </c>
      <c r="G62" s="16" t="s">
        <v>1525</v>
      </c>
      <c r="H62" s="17">
        <v>1442</v>
      </c>
      <c r="I62" s="37">
        <v>25</v>
      </c>
      <c r="J62" s="59">
        <v>1082</v>
      </c>
      <c r="K62" s="40">
        <v>44.99</v>
      </c>
      <c r="L62" s="41" t="s">
        <v>275</v>
      </c>
      <c r="M62" s="26" t="s">
        <v>274</v>
      </c>
      <c r="N62" s="11"/>
      <c r="O62" s="15"/>
      <c r="P62" s="16"/>
    </row>
    <row r="63" spans="1:16" s="4" customFormat="1" x14ac:dyDescent="0.25">
      <c r="A63" s="62" t="s">
        <v>1693</v>
      </c>
      <c r="B63" s="12">
        <v>9780230547018</v>
      </c>
      <c r="C63" s="13" t="s">
        <v>883</v>
      </c>
      <c r="D63" s="14" t="str">
        <f>HYPERLINK("http://www.springer.com/gp/book/9780230547018","Designing the European Model")</f>
        <v>Designing the European Model</v>
      </c>
      <c r="E63" s="20"/>
      <c r="F63" s="15" t="s">
        <v>696</v>
      </c>
      <c r="G63" s="16" t="s">
        <v>1525</v>
      </c>
      <c r="H63" s="17">
        <v>4225</v>
      </c>
      <c r="I63" s="37">
        <v>25</v>
      </c>
      <c r="J63" s="59">
        <v>3169</v>
      </c>
      <c r="K63" s="40">
        <v>134.99</v>
      </c>
      <c r="L63" s="41" t="s">
        <v>275</v>
      </c>
      <c r="M63" s="26" t="s">
        <v>274</v>
      </c>
      <c r="N63" s="11"/>
      <c r="O63" s="15"/>
      <c r="P63" s="16"/>
    </row>
    <row r="64" spans="1:16" s="4" customFormat="1" x14ac:dyDescent="0.25">
      <c r="A64" s="62" t="s">
        <v>1693</v>
      </c>
      <c r="B64" s="12">
        <v>9780230202061</v>
      </c>
      <c r="C64" s="13" t="s">
        <v>701</v>
      </c>
      <c r="D64" s="14" t="str">
        <f>HYPERLINK("http://www.springer.com/gp/book/9780230202061","Eco-Innovation")</f>
        <v>Eco-Innovation</v>
      </c>
      <c r="E64" s="20" t="s">
        <v>702</v>
      </c>
      <c r="F64" s="15" t="s">
        <v>696</v>
      </c>
      <c r="G64" s="16" t="s">
        <v>1525</v>
      </c>
      <c r="H64" s="17">
        <v>1602</v>
      </c>
      <c r="I64" s="37">
        <v>25</v>
      </c>
      <c r="J64" s="59">
        <v>1202</v>
      </c>
      <c r="K64" s="40">
        <v>49.99</v>
      </c>
      <c r="L64" s="41" t="s">
        <v>275</v>
      </c>
      <c r="M64" s="26" t="s">
        <v>274</v>
      </c>
      <c r="N64" s="11"/>
      <c r="O64" s="15"/>
      <c r="P64" s="16"/>
    </row>
    <row r="65" spans="1:16" s="4" customFormat="1" x14ac:dyDescent="0.25">
      <c r="A65" s="62" t="s">
        <v>1693</v>
      </c>
      <c r="B65" s="12">
        <v>9780230525559</v>
      </c>
      <c r="C65" s="13" t="s">
        <v>851</v>
      </c>
      <c r="D65" s="14" t="str">
        <f>HYPERLINK("http://www.springer.com/gp/book/9780230525559","Economic Sanctions")</f>
        <v>Economic Sanctions</v>
      </c>
      <c r="E65" s="20" t="s">
        <v>852</v>
      </c>
      <c r="F65" s="15" t="s">
        <v>696</v>
      </c>
      <c r="G65" s="16" t="s">
        <v>1525</v>
      </c>
      <c r="H65" s="17">
        <v>3912</v>
      </c>
      <c r="I65" s="37">
        <v>25</v>
      </c>
      <c r="J65" s="59">
        <v>2934</v>
      </c>
      <c r="K65" s="40">
        <v>124.99</v>
      </c>
      <c r="L65" s="41" t="s">
        <v>275</v>
      </c>
      <c r="M65" s="26" t="s">
        <v>274</v>
      </c>
      <c r="N65" s="11"/>
      <c r="O65" s="15"/>
      <c r="P65" s="16"/>
    </row>
    <row r="66" spans="1:16" s="4" customFormat="1" x14ac:dyDescent="0.25">
      <c r="A66" s="62" t="s">
        <v>1693</v>
      </c>
      <c r="B66" s="12">
        <v>9781137383587</v>
      </c>
      <c r="C66" s="13" t="s">
        <v>926</v>
      </c>
      <c r="D66" s="14" t="str">
        <f>HYPERLINK("http://www.springer.com/gp/book/9781137383587","Economics for the Curious")</f>
        <v>Economics for the Curious</v>
      </c>
      <c r="E66" s="20" t="s">
        <v>927</v>
      </c>
      <c r="F66" s="15" t="s">
        <v>708</v>
      </c>
      <c r="G66" s="16" t="s">
        <v>1525</v>
      </c>
      <c r="H66" s="17">
        <v>641</v>
      </c>
      <c r="I66" s="37">
        <v>20</v>
      </c>
      <c r="J66" s="59">
        <v>513</v>
      </c>
      <c r="K66" s="40">
        <v>19.989999999999998</v>
      </c>
      <c r="L66" s="41" t="s">
        <v>275</v>
      </c>
      <c r="M66" s="26" t="s">
        <v>274</v>
      </c>
      <c r="N66" s="11"/>
      <c r="O66" s="15"/>
      <c r="P66" s="16"/>
    </row>
    <row r="67" spans="1:16" s="4" customFormat="1" x14ac:dyDescent="0.25">
      <c r="A67" s="62" t="s">
        <v>1693</v>
      </c>
      <c r="B67" s="12">
        <v>9781137024060</v>
      </c>
      <c r="C67" s="13" t="s">
        <v>788</v>
      </c>
      <c r="D67" s="14" t="str">
        <f>HYPERLINK("http://www.springer.com/gp/book/9781137024060","Entrepreneurial Excellence in the Knowledge Economy")</f>
        <v>Entrepreneurial Excellence in the Knowledge Economy</v>
      </c>
      <c r="E67" s="20" t="s">
        <v>789</v>
      </c>
      <c r="F67" s="15" t="s">
        <v>752</v>
      </c>
      <c r="G67" s="16" t="s">
        <v>1525</v>
      </c>
      <c r="H67" s="17">
        <v>3443</v>
      </c>
      <c r="I67" s="37">
        <v>20</v>
      </c>
      <c r="J67" s="59">
        <v>2754</v>
      </c>
      <c r="K67" s="40">
        <v>109.99</v>
      </c>
      <c r="L67" s="41" t="s">
        <v>275</v>
      </c>
      <c r="M67" s="26" t="s">
        <v>274</v>
      </c>
      <c r="N67" s="11"/>
      <c r="O67" s="15"/>
      <c r="P67" s="16"/>
    </row>
    <row r="68" spans="1:16" s="4" customFormat="1" x14ac:dyDescent="0.25">
      <c r="A68" s="62" t="s">
        <v>1693</v>
      </c>
      <c r="B68" s="22">
        <v>9780230247802</v>
      </c>
      <c r="C68" s="23" t="s">
        <v>68</v>
      </c>
      <c r="D68" s="24" t="s">
        <v>588</v>
      </c>
      <c r="E68" s="23"/>
      <c r="F68" s="25">
        <v>2010</v>
      </c>
      <c r="G68" s="26" t="s">
        <v>1678</v>
      </c>
      <c r="H68" s="27">
        <v>1918</v>
      </c>
      <c r="I68" s="37">
        <v>25</v>
      </c>
      <c r="J68" s="59">
        <v>1439</v>
      </c>
      <c r="K68" s="42">
        <v>46.99</v>
      </c>
      <c r="L68" s="43" t="s">
        <v>272</v>
      </c>
      <c r="M68" s="26" t="s">
        <v>273</v>
      </c>
      <c r="N68" s="21" t="s">
        <v>1680</v>
      </c>
      <c r="O68" s="25">
        <v>544</v>
      </c>
      <c r="P68" s="28" t="s">
        <v>589</v>
      </c>
    </row>
    <row r="69" spans="1:16" s="4" customFormat="1" x14ac:dyDescent="0.25">
      <c r="A69" s="62" t="s">
        <v>1693</v>
      </c>
      <c r="B69" s="12">
        <v>9780230301306</v>
      </c>
      <c r="C69" s="13" t="s">
        <v>712</v>
      </c>
      <c r="D69" s="14" t="str">
        <f>HYPERLINK("http://www.springer.com/gp/book/9780230301306","e-shock 2020")</f>
        <v>e-shock 2020</v>
      </c>
      <c r="E69" s="20" t="s">
        <v>713</v>
      </c>
      <c r="F69" s="15" t="s">
        <v>714</v>
      </c>
      <c r="G69" s="16" t="s">
        <v>1525</v>
      </c>
      <c r="H69" s="17">
        <v>1442</v>
      </c>
      <c r="I69" s="37">
        <v>25</v>
      </c>
      <c r="J69" s="59">
        <v>1082</v>
      </c>
      <c r="K69" s="40">
        <v>44.99</v>
      </c>
      <c r="L69" s="41" t="s">
        <v>275</v>
      </c>
      <c r="M69" s="26" t="s">
        <v>274</v>
      </c>
      <c r="N69" s="11"/>
      <c r="O69" s="15"/>
      <c r="P69" s="16"/>
    </row>
    <row r="70" spans="1:16" s="4" customFormat="1" x14ac:dyDescent="0.25">
      <c r="A70" s="62" t="s">
        <v>1693</v>
      </c>
      <c r="B70" s="12">
        <v>9780230285088</v>
      </c>
      <c r="C70" s="13" t="s">
        <v>69</v>
      </c>
      <c r="D70" s="14" t="str">
        <f>HYPERLINK("http://www.springer.com/gp/book/9780230285088","Ethics in Investment Banking")</f>
        <v>Ethics in Investment Banking</v>
      </c>
      <c r="E70" s="20"/>
      <c r="F70" s="15" t="s">
        <v>714</v>
      </c>
      <c r="G70" s="16" t="s">
        <v>1525</v>
      </c>
      <c r="H70" s="17">
        <v>1442</v>
      </c>
      <c r="I70" s="37">
        <v>25</v>
      </c>
      <c r="J70" s="59">
        <v>1082</v>
      </c>
      <c r="K70" s="40">
        <v>44.99</v>
      </c>
      <c r="L70" s="41" t="s">
        <v>275</v>
      </c>
      <c r="M70" s="26" t="s">
        <v>274</v>
      </c>
      <c r="N70" s="11"/>
      <c r="O70" s="15"/>
      <c r="P70" s="16"/>
    </row>
    <row r="71" spans="1:16" s="4" customFormat="1" x14ac:dyDescent="0.25">
      <c r="A71" s="62" t="s">
        <v>1693</v>
      </c>
      <c r="B71" s="12">
        <v>9780230298682</v>
      </c>
      <c r="C71" s="13" t="s">
        <v>184</v>
      </c>
      <c r="D71" s="14" t="str">
        <f>HYPERLINK("http://www.springer.com/gp/book/9780230298682","Europe and National Economic Transformation")</f>
        <v>Europe and National Economic Transformation</v>
      </c>
      <c r="E71" s="20" t="s">
        <v>924</v>
      </c>
      <c r="F71" s="15" t="s">
        <v>752</v>
      </c>
      <c r="G71" s="16" t="s">
        <v>1525</v>
      </c>
      <c r="H71" s="17">
        <v>3286</v>
      </c>
      <c r="I71" s="37">
        <v>20</v>
      </c>
      <c r="J71" s="59">
        <v>2629</v>
      </c>
      <c r="K71" s="40">
        <v>104.99</v>
      </c>
      <c r="L71" s="41" t="s">
        <v>275</v>
      </c>
      <c r="M71" s="26" t="s">
        <v>274</v>
      </c>
      <c r="N71" s="11"/>
      <c r="O71" s="15"/>
      <c r="P71" s="16"/>
    </row>
    <row r="72" spans="1:16" s="4" customFormat="1" x14ac:dyDescent="0.25">
      <c r="A72" s="62" t="s">
        <v>1693</v>
      </c>
      <c r="B72" s="12">
        <v>9780230368965</v>
      </c>
      <c r="C72" s="13" t="s">
        <v>698</v>
      </c>
      <c r="D72" s="14" t="str">
        <f>HYPERLINK("http://www.springer.com/gp/book/9780230368965","Evolution of Innovation Management")</f>
        <v>Evolution of Innovation Management</v>
      </c>
      <c r="E72" s="20" t="s">
        <v>699</v>
      </c>
      <c r="F72" s="15" t="s">
        <v>700</v>
      </c>
      <c r="G72" s="16" t="s">
        <v>1525</v>
      </c>
      <c r="H72" s="17">
        <v>3599</v>
      </c>
      <c r="I72" s="37">
        <v>20</v>
      </c>
      <c r="J72" s="59">
        <v>2879</v>
      </c>
      <c r="K72" s="40">
        <v>114.99</v>
      </c>
      <c r="L72" s="41" t="s">
        <v>275</v>
      </c>
      <c r="M72" s="26" t="s">
        <v>274</v>
      </c>
      <c r="N72" s="11"/>
      <c r="O72" s="15"/>
      <c r="P72" s="16"/>
    </row>
    <row r="73" spans="1:16" s="4" customFormat="1" x14ac:dyDescent="0.25">
      <c r="A73" s="62" t="s">
        <v>1693</v>
      </c>
      <c r="B73" s="12">
        <v>9780230500624</v>
      </c>
      <c r="C73" s="13" t="s">
        <v>890</v>
      </c>
      <c r="D73" s="14" t="str">
        <f>HYPERLINK("http://www.springer.com/gp/book/9780230500624","Exchange Rates and Macroeconomic Dynamics")</f>
        <v>Exchange Rates and Macroeconomic Dynamics</v>
      </c>
      <c r="E73" s="20"/>
      <c r="F73" s="15" t="s">
        <v>705</v>
      </c>
      <c r="G73" s="16" t="s">
        <v>1525</v>
      </c>
      <c r="H73" s="17">
        <v>3443</v>
      </c>
      <c r="I73" s="37">
        <v>25</v>
      </c>
      <c r="J73" s="59">
        <v>2582</v>
      </c>
      <c r="K73" s="40">
        <v>109.99</v>
      </c>
      <c r="L73" s="41" t="s">
        <v>275</v>
      </c>
      <c r="M73" s="26" t="s">
        <v>274</v>
      </c>
      <c r="N73" s="11"/>
      <c r="O73" s="15"/>
      <c r="P73" s="16"/>
    </row>
    <row r="74" spans="1:16" s="4" customFormat="1" x14ac:dyDescent="0.25">
      <c r="A74" s="62" t="s">
        <v>1693</v>
      </c>
      <c r="B74" s="12">
        <v>9780230220379</v>
      </c>
      <c r="C74" s="13" t="s">
        <v>715</v>
      </c>
      <c r="D74" s="14" t="str">
        <f>HYPERLINK("http://www.springer.com/gp/book/9780230220379","Finance: Servant or Deceiver?")</f>
        <v>Finance: Servant or Deceiver?</v>
      </c>
      <c r="E74" s="20" t="s">
        <v>716</v>
      </c>
      <c r="F74" s="15" t="s">
        <v>696</v>
      </c>
      <c r="G74" s="16" t="s">
        <v>1525</v>
      </c>
      <c r="H74" s="17">
        <v>3599</v>
      </c>
      <c r="I74" s="37">
        <v>25</v>
      </c>
      <c r="J74" s="59">
        <v>2699</v>
      </c>
      <c r="K74" s="40">
        <v>114.99</v>
      </c>
      <c r="L74" s="41" t="s">
        <v>275</v>
      </c>
      <c r="M74" s="26" t="s">
        <v>274</v>
      </c>
      <c r="N74" s="11"/>
      <c r="O74" s="15"/>
      <c r="P74" s="16"/>
    </row>
    <row r="75" spans="1:16" s="4" customFormat="1" x14ac:dyDescent="0.25">
      <c r="A75" s="62" t="s">
        <v>1693</v>
      </c>
      <c r="B75" s="12">
        <v>9780230578111</v>
      </c>
      <c r="C75" s="13" t="s">
        <v>994</v>
      </c>
      <c r="D75" s="14" t="str">
        <f>HYPERLINK("http://www.springer.com/gp/book/9780230578111","Financial Boom and Gloom")</f>
        <v>Financial Boom and Gloom</v>
      </c>
      <c r="E75" s="20" t="s">
        <v>995</v>
      </c>
      <c r="F75" s="15" t="s">
        <v>696</v>
      </c>
      <c r="G75" s="16" t="s">
        <v>1525</v>
      </c>
      <c r="H75" s="17">
        <v>4069</v>
      </c>
      <c r="I75" s="37">
        <v>25</v>
      </c>
      <c r="J75" s="59">
        <v>3052</v>
      </c>
      <c r="K75" s="40">
        <v>129.99</v>
      </c>
      <c r="L75" s="41" t="s">
        <v>275</v>
      </c>
      <c r="M75" s="26" t="s">
        <v>274</v>
      </c>
      <c r="N75" s="11"/>
      <c r="O75" s="15"/>
      <c r="P75" s="16"/>
    </row>
    <row r="76" spans="1:16" s="4" customFormat="1" x14ac:dyDescent="0.25">
      <c r="A76" s="62" t="s">
        <v>1693</v>
      </c>
      <c r="B76" s="12">
        <v>9780230283633</v>
      </c>
      <c r="C76" s="13" t="s">
        <v>728</v>
      </c>
      <c r="D76" s="14" t="str">
        <f>HYPERLINK("http://www.springer.com/gp/book/9780230283633","Financial Econometrics Modeling: Derivatives Pricing, Hedge Funds and Term Structure Models")</f>
        <v>Financial Econometrics Modeling: Derivatives Pricing, Hedge Funds and Term Structure Models</v>
      </c>
      <c r="E76" s="20"/>
      <c r="F76" s="15" t="s">
        <v>714</v>
      </c>
      <c r="G76" s="16" t="s">
        <v>1525</v>
      </c>
      <c r="H76" s="17">
        <v>3599</v>
      </c>
      <c r="I76" s="37">
        <v>25</v>
      </c>
      <c r="J76" s="59">
        <v>2699</v>
      </c>
      <c r="K76" s="40">
        <v>114.99</v>
      </c>
      <c r="L76" s="41" t="s">
        <v>275</v>
      </c>
      <c r="M76" s="26" t="s">
        <v>274</v>
      </c>
      <c r="N76" s="11"/>
      <c r="O76" s="15"/>
      <c r="P76" s="16"/>
    </row>
    <row r="77" spans="1:16" s="4" customFormat="1" x14ac:dyDescent="0.25">
      <c r="A77" s="62" t="s">
        <v>1693</v>
      </c>
      <c r="B77" s="12">
        <v>9780230283626</v>
      </c>
      <c r="C77" s="13" t="s">
        <v>728</v>
      </c>
      <c r="D77" s="14" t="str">
        <f>HYPERLINK("http://www.springer.com/gp/book/9780230283626","Financial Econometrics Modeling: Market Microstructure, Factor Models and Financial Risk Measures")</f>
        <v>Financial Econometrics Modeling: Market Microstructure, Factor Models and Financial Risk Measures</v>
      </c>
      <c r="E77" s="20"/>
      <c r="F77" s="15" t="s">
        <v>714</v>
      </c>
      <c r="G77" s="16" t="s">
        <v>1525</v>
      </c>
      <c r="H77" s="17">
        <v>3599</v>
      </c>
      <c r="I77" s="37">
        <v>25</v>
      </c>
      <c r="J77" s="59">
        <v>2699</v>
      </c>
      <c r="K77" s="40">
        <v>114.99</v>
      </c>
      <c r="L77" s="41" t="s">
        <v>275</v>
      </c>
      <c r="M77" s="26" t="s">
        <v>274</v>
      </c>
      <c r="N77" s="11"/>
      <c r="O77" s="15"/>
      <c r="P77" s="16"/>
    </row>
    <row r="78" spans="1:16" s="4" customFormat="1" x14ac:dyDescent="0.25">
      <c r="A78" s="62" t="s">
        <v>1693</v>
      </c>
      <c r="B78" s="12">
        <v>9781403936097</v>
      </c>
      <c r="C78" s="13" t="s">
        <v>689</v>
      </c>
      <c r="D78" s="14" t="str">
        <f>HYPERLINK("http://www.springer.com/gp/book/9781403936097","Financial Lexicon")</f>
        <v>Financial Lexicon</v>
      </c>
      <c r="E78" s="20" t="s">
        <v>690</v>
      </c>
      <c r="F78" s="15" t="s">
        <v>691</v>
      </c>
      <c r="G78" s="16" t="s">
        <v>1525</v>
      </c>
      <c r="H78" s="17">
        <v>9359</v>
      </c>
      <c r="I78" s="38">
        <v>30</v>
      </c>
      <c r="J78" s="59">
        <v>6551</v>
      </c>
      <c r="K78" s="40">
        <v>299</v>
      </c>
      <c r="L78" s="41" t="s">
        <v>275</v>
      </c>
      <c r="M78" s="26" t="s">
        <v>274</v>
      </c>
      <c r="N78" s="11"/>
      <c r="O78" s="15"/>
      <c r="P78" s="16"/>
    </row>
    <row r="79" spans="1:16" s="4" customFormat="1" x14ac:dyDescent="0.25">
      <c r="A79" s="62" t="s">
        <v>1693</v>
      </c>
      <c r="B79" s="12">
        <v>9780230239029</v>
      </c>
      <c r="C79" s="13" t="s">
        <v>910</v>
      </c>
      <c r="D79" s="14" t="str">
        <f>HYPERLINK("http://www.springer.com/gp/book/9780230239029","Financial Regulation after the Global Recession")</f>
        <v>Financial Regulation after the Global Recession</v>
      </c>
      <c r="E79" s="20"/>
      <c r="F79" s="15" t="s">
        <v>696</v>
      </c>
      <c r="G79" s="16" t="s">
        <v>1525</v>
      </c>
      <c r="H79" s="17">
        <v>3443</v>
      </c>
      <c r="I79" s="37">
        <v>25</v>
      </c>
      <c r="J79" s="59">
        <v>2582</v>
      </c>
      <c r="K79" s="40">
        <v>109.99</v>
      </c>
      <c r="L79" s="41" t="s">
        <v>275</v>
      </c>
      <c r="M79" s="26" t="s">
        <v>274</v>
      </c>
      <c r="N79" s="11"/>
      <c r="O79" s="15"/>
      <c r="P79" s="16"/>
    </row>
    <row r="80" spans="1:16" s="4" customFormat="1" x14ac:dyDescent="0.25">
      <c r="A80" s="62" t="s">
        <v>1693</v>
      </c>
      <c r="B80" s="12">
        <v>9780230203990</v>
      </c>
      <c r="C80" s="13" t="s">
        <v>875</v>
      </c>
      <c r="D80" s="14" t="str">
        <f>HYPERLINK("http://www.springer.com/gp/book/9780230203990","Fiscal Policy in the European Union")</f>
        <v>Fiscal Policy in the European Union</v>
      </c>
      <c r="E80" s="20"/>
      <c r="F80" s="15" t="s">
        <v>705</v>
      </c>
      <c r="G80" s="16" t="s">
        <v>1525</v>
      </c>
      <c r="H80" s="17">
        <v>3443</v>
      </c>
      <c r="I80" s="37">
        <v>25</v>
      </c>
      <c r="J80" s="59">
        <v>2582</v>
      </c>
      <c r="K80" s="40">
        <v>109.99</v>
      </c>
      <c r="L80" s="41" t="s">
        <v>275</v>
      </c>
      <c r="M80" s="26" t="s">
        <v>274</v>
      </c>
      <c r="N80" s="11"/>
      <c r="O80" s="15"/>
      <c r="P80" s="16"/>
    </row>
    <row r="81" spans="1:16" s="4" customFormat="1" x14ac:dyDescent="0.25">
      <c r="A81" s="62" t="s">
        <v>1693</v>
      </c>
      <c r="B81" s="12">
        <v>9780230553576</v>
      </c>
      <c r="C81" s="13" t="s">
        <v>878</v>
      </c>
      <c r="D81" s="14" t="str">
        <f>HYPERLINK("http://www.springer.com/gp/book/9780230553576","Food Insecurity, Vulnerability and Human Rights Failure")</f>
        <v>Food Insecurity, Vulnerability and Human Rights Failure</v>
      </c>
      <c r="E81" s="20"/>
      <c r="F81" s="15" t="s">
        <v>729</v>
      </c>
      <c r="G81" s="16" t="s">
        <v>1525</v>
      </c>
      <c r="H81" s="17">
        <v>4538</v>
      </c>
      <c r="I81" s="38">
        <v>30</v>
      </c>
      <c r="J81" s="59">
        <v>3177</v>
      </c>
      <c r="K81" s="40">
        <v>144.99</v>
      </c>
      <c r="L81" s="41" t="s">
        <v>275</v>
      </c>
      <c r="M81" s="26" t="s">
        <v>274</v>
      </c>
      <c r="N81" s="11"/>
      <c r="O81" s="15"/>
      <c r="P81" s="16"/>
    </row>
    <row r="82" spans="1:16" s="4" customFormat="1" x14ac:dyDescent="0.25">
      <c r="A82" s="62" t="s">
        <v>1693</v>
      </c>
      <c r="B82" s="22">
        <v>9780230579071</v>
      </c>
      <c r="C82" s="23" t="s">
        <v>342</v>
      </c>
      <c r="D82" s="24" t="s">
        <v>71</v>
      </c>
      <c r="E82" s="23"/>
      <c r="F82" s="25">
        <v>2009</v>
      </c>
      <c r="G82" s="26" t="s">
        <v>1678</v>
      </c>
      <c r="H82" s="27">
        <v>1755</v>
      </c>
      <c r="I82" s="37">
        <v>25</v>
      </c>
      <c r="J82" s="59">
        <v>1316</v>
      </c>
      <c r="K82" s="42">
        <v>42.99</v>
      </c>
      <c r="L82" s="43" t="s">
        <v>272</v>
      </c>
      <c r="M82" s="26" t="s">
        <v>273</v>
      </c>
      <c r="N82" s="21"/>
      <c r="O82" s="25">
        <v>752</v>
      </c>
      <c r="P82" s="28" t="s">
        <v>352</v>
      </c>
    </row>
    <row r="83" spans="1:16" s="4" customFormat="1" x14ac:dyDescent="0.25">
      <c r="A83" s="62" t="s">
        <v>1693</v>
      </c>
      <c r="B83" s="12">
        <v>9780230233102</v>
      </c>
      <c r="C83" s="13" t="s">
        <v>892</v>
      </c>
      <c r="D83" s="14" t="str">
        <f>HYPERLINK("http://www.springer.com/gp/book/9780230233102","From Agglomeration to Innovation")</f>
        <v>From Agglomeration to Innovation</v>
      </c>
      <c r="E83" s="20" t="s">
        <v>893</v>
      </c>
      <c r="F83" s="15" t="s">
        <v>688</v>
      </c>
      <c r="G83" s="16" t="s">
        <v>1525</v>
      </c>
      <c r="H83" s="17">
        <v>4069</v>
      </c>
      <c r="I83" s="37">
        <v>25</v>
      </c>
      <c r="J83" s="59">
        <v>3052</v>
      </c>
      <c r="K83" s="40">
        <v>129.99</v>
      </c>
      <c r="L83" s="41" t="s">
        <v>275</v>
      </c>
      <c r="M83" s="26" t="s">
        <v>274</v>
      </c>
      <c r="N83" s="11"/>
      <c r="O83" s="15"/>
      <c r="P83" s="16"/>
    </row>
    <row r="84" spans="1:16" s="4" customFormat="1" x14ac:dyDescent="0.25">
      <c r="A84" s="62" t="s">
        <v>1693</v>
      </c>
      <c r="B84" s="12">
        <v>9780230013599</v>
      </c>
      <c r="C84" s="13" t="s">
        <v>710</v>
      </c>
      <c r="D84" s="14" t="str">
        <f>HYPERLINK("http://www.springer.com/gp/book/9780230013599","Future Public Health")</f>
        <v>Future Public Health</v>
      </c>
      <c r="E84" s="20" t="s">
        <v>711</v>
      </c>
      <c r="F84" s="15" t="s">
        <v>696</v>
      </c>
      <c r="G84" s="16" t="s">
        <v>1525</v>
      </c>
      <c r="H84" s="17">
        <v>3443</v>
      </c>
      <c r="I84" s="37">
        <v>25</v>
      </c>
      <c r="J84" s="59">
        <v>2582</v>
      </c>
      <c r="K84" s="40">
        <v>109.99</v>
      </c>
      <c r="L84" s="41" t="s">
        <v>275</v>
      </c>
      <c r="M84" s="26" t="s">
        <v>274</v>
      </c>
      <c r="N84" s="11"/>
      <c r="O84" s="15"/>
      <c r="P84" s="16"/>
    </row>
    <row r="85" spans="1:16" s="4" customFormat="1" x14ac:dyDescent="0.25">
      <c r="A85" s="62" t="s">
        <v>1693</v>
      </c>
      <c r="B85" s="12">
        <v>9781137461094</v>
      </c>
      <c r="C85" s="13" t="s">
        <v>932</v>
      </c>
      <c r="D85" s="14" t="str">
        <f>HYPERLINK("http://www.springer.com/gp/book/9781137461094","Gazprom")</f>
        <v>Gazprom</v>
      </c>
      <c r="E85" s="20" t="s">
        <v>933</v>
      </c>
      <c r="F85" s="15" t="s">
        <v>694</v>
      </c>
      <c r="G85" s="16" t="s">
        <v>1525</v>
      </c>
      <c r="H85" s="17">
        <v>3443</v>
      </c>
      <c r="I85" s="37">
        <v>20</v>
      </c>
      <c r="J85" s="59">
        <v>2754</v>
      </c>
      <c r="K85" s="40">
        <v>109.99</v>
      </c>
      <c r="L85" s="41" t="s">
        <v>275</v>
      </c>
      <c r="M85" s="26" t="s">
        <v>274</v>
      </c>
      <c r="N85" s="11"/>
      <c r="O85" s="15"/>
      <c r="P85" s="16"/>
    </row>
    <row r="86" spans="1:16" s="4" customFormat="1" x14ac:dyDescent="0.25">
      <c r="A86" s="62" t="s">
        <v>1693</v>
      </c>
      <c r="B86" s="12">
        <v>9780230298538</v>
      </c>
      <c r="C86" s="13" t="s">
        <v>901</v>
      </c>
      <c r="D86" s="14" t="str">
        <f>HYPERLINK("http://www.springer.com/gp/book/9780230298538","Genesis of the Financial Crisis")</f>
        <v>Genesis of the Financial Crisis</v>
      </c>
      <c r="E86" s="20"/>
      <c r="F86" s="15" t="s">
        <v>752</v>
      </c>
      <c r="G86" s="16" t="s">
        <v>1525</v>
      </c>
      <c r="H86" s="17">
        <v>3130</v>
      </c>
      <c r="I86" s="37">
        <v>20</v>
      </c>
      <c r="J86" s="59">
        <v>2504</v>
      </c>
      <c r="K86" s="40">
        <v>99.99</v>
      </c>
      <c r="L86" s="41" t="s">
        <v>275</v>
      </c>
      <c r="M86" s="26" t="s">
        <v>274</v>
      </c>
      <c r="N86" s="11"/>
      <c r="O86" s="15"/>
      <c r="P86" s="16"/>
    </row>
    <row r="87" spans="1:16" s="4" customFormat="1" x14ac:dyDescent="0.25">
      <c r="A87" s="62" t="s">
        <v>1693</v>
      </c>
      <c r="B87" s="12">
        <v>9780230229198</v>
      </c>
      <c r="C87" s="13" t="s">
        <v>72</v>
      </c>
      <c r="D87" s="14" t="str">
        <f>HYPERLINK("http://www.springer.com/gp/book/9780230229198","Global Energy Transformation")</f>
        <v>Global Energy Transformation</v>
      </c>
      <c r="E87" s="20" t="s">
        <v>745</v>
      </c>
      <c r="F87" s="15" t="s">
        <v>696</v>
      </c>
      <c r="G87" s="16" t="s">
        <v>1525</v>
      </c>
      <c r="H87" s="17">
        <v>1602</v>
      </c>
      <c r="I87" s="37">
        <v>25</v>
      </c>
      <c r="J87" s="59">
        <v>1202</v>
      </c>
      <c r="K87" s="40">
        <v>49.99</v>
      </c>
      <c r="L87" s="41" t="s">
        <v>275</v>
      </c>
      <c r="M87" s="26" t="s">
        <v>274</v>
      </c>
      <c r="N87" s="11"/>
      <c r="O87" s="15"/>
      <c r="P87" s="16"/>
    </row>
    <row r="88" spans="1:16" s="4" customFormat="1" x14ac:dyDescent="0.25">
      <c r="A88" s="62" t="s">
        <v>1693</v>
      </c>
      <c r="B88" s="12">
        <v>9780230273603</v>
      </c>
      <c r="C88" s="13" t="s">
        <v>879</v>
      </c>
      <c r="D88" s="14" t="str">
        <f>HYPERLINK("http://www.springer.com/gp/book/9780230273603","Globalisation, Democratisation and Radicalisation in the Arab World")</f>
        <v>Globalisation, Democratisation and Radicalisation in the Arab World</v>
      </c>
      <c r="E88" s="20"/>
      <c r="F88" s="15" t="s">
        <v>714</v>
      </c>
      <c r="G88" s="16" t="s">
        <v>1525</v>
      </c>
      <c r="H88" s="17">
        <v>3756</v>
      </c>
      <c r="I88" s="37">
        <v>25</v>
      </c>
      <c r="J88" s="59">
        <v>2817</v>
      </c>
      <c r="K88" s="40">
        <v>119.99</v>
      </c>
      <c r="L88" s="41" t="s">
        <v>275</v>
      </c>
      <c r="M88" s="26" t="s">
        <v>274</v>
      </c>
      <c r="N88" s="11"/>
      <c r="O88" s="15"/>
      <c r="P88" s="16"/>
    </row>
    <row r="89" spans="1:16" s="4" customFormat="1" x14ac:dyDescent="0.25">
      <c r="A89" s="62" t="s">
        <v>1693</v>
      </c>
      <c r="B89" s="12">
        <v>9780230235304</v>
      </c>
      <c r="C89" s="13" t="s">
        <v>999</v>
      </c>
      <c r="D89" s="14" t="str">
        <f>HYPERLINK("http://www.springer.com/gp/book/9780230235304","Globalization and the Reform of the International Banking and Monetary System")</f>
        <v>Globalization and the Reform of the International Banking and Monetary System</v>
      </c>
      <c r="E89" s="20"/>
      <c r="F89" s="15" t="s">
        <v>696</v>
      </c>
      <c r="G89" s="16" t="s">
        <v>1525</v>
      </c>
      <c r="H89" s="17">
        <v>3756</v>
      </c>
      <c r="I89" s="37">
        <v>25</v>
      </c>
      <c r="J89" s="59">
        <v>2817</v>
      </c>
      <c r="K89" s="40">
        <v>119.99</v>
      </c>
      <c r="L89" s="41" t="s">
        <v>275</v>
      </c>
      <c r="M89" s="26" t="s">
        <v>274</v>
      </c>
      <c r="N89" s="11"/>
      <c r="O89" s="15"/>
      <c r="P89" s="16"/>
    </row>
    <row r="90" spans="1:16" s="4" customFormat="1" x14ac:dyDescent="0.25">
      <c r="A90" s="62" t="s">
        <v>1693</v>
      </c>
      <c r="B90" s="12">
        <v>9780230205291</v>
      </c>
      <c r="C90" s="13" t="s">
        <v>910</v>
      </c>
      <c r="D90" s="14" t="str">
        <f>HYPERLINK("http://www.springer.com/gp/book/9780230205291","Globalization and the State: Volume I")</f>
        <v>Globalization and the State: Volume I</v>
      </c>
      <c r="E90" s="20" t="s">
        <v>911</v>
      </c>
      <c r="F90" s="15" t="s">
        <v>705</v>
      </c>
      <c r="G90" s="16" t="s">
        <v>1525</v>
      </c>
      <c r="H90" s="17">
        <v>3756</v>
      </c>
      <c r="I90" s="37">
        <v>25</v>
      </c>
      <c r="J90" s="59">
        <v>2817</v>
      </c>
      <c r="K90" s="40">
        <v>119.99</v>
      </c>
      <c r="L90" s="41" t="s">
        <v>275</v>
      </c>
      <c r="M90" s="26" t="s">
        <v>274</v>
      </c>
      <c r="N90" s="11"/>
      <c r="O90" s="15"/>
      <c r="P90" s="16"/>
    </row>
    <row r="91" spans="1:16" s="4" customFormat="1" x14ac:dyDescent="0.25">
      <c r="A91" s="62" t="s">
        <v>1693</v>
      </c>
      <c r="B91" s="12">
        <v>9780230205314</v>
      </c>
      <c r="C91" s="13" t="s">
        <v>910</v>
      </c>
      <c r="D91" s="14" t="str">
        <f>HYPERLINK("http://www.springer.com/gp/book/9780230205314","Globalization and the State: Volume II")</f>
        <v>Globalization and the State: Volume II</v>
      </c>
      <c r="E91" s="20" t="s">
        <v>912</v>
      </c>
      <c r="F91" s="15" t="s">
        <v>705</v>
      </c>
      <c r="G91" s="16" t="s">
        <v>1525</v>
      </c>
      <c r="H91" s="17">
        <v>3756</v>
      </c>
      <c r="I91" s="37">
        <v>25</v>
      </c>
      <c r="J91" s="59">
        <v>2817</v>
      </c>
      <c r="K91" s="40">
        <v>119.99</v>
      </c>
      <c r="L91" s="41" t="s">
        <v>275</v>
      </c>
      <c r="M91" s="26" t="s">
        <v>274</v>
      </c>
      <c r="N91" s="11"/>
      <c r="O91" s="15"/>
      <c r="P91" s="16"/>
    </row>
    <row r="92" spans="1:16" s="4" customFormat="1" x14ac:dyDescent="0.25">
      <c r="A92" s="62" t="s">
        <v>1693</v>
      </c>
      <c r="B92" s="12">
        <v>9781137304421</v>
      </c>
      <c r="C92" s="13" t="s">
        <v>884</v>
      </c>
      <c r="D92" s="14" t="str">
        <f>HYPERLINK("http://www.springer.com/gp/book/9781137304421","Globalization Contained")</f>
        <v>Globalization Contained</v>
      </c>
      <c r="E92" s="20" t="s">
        <v>885</v>
      </c>
      <c r="F92" s="15" t="s">
        <v>700</v>
      </c>
      <c r="G92" s="16" t="s">
        <v>1525</v>
      </c>
      <c r="H92" s="17">
        <v>3286</v>
      </c>
      <c r="I92" s="37">
        <v>20</v>
      </c>
      <c r="J92" s="59">
        <v>2629</v>
      </c>
      <c r="K92" s="40">
        <v>104.99</v>
      </c>
      <c r="L92" s="41" t="s">
        <v>275</v>
      </c>
      <c r="M92" s="26" t="s">
        <v>274</v>
      </c>
      <c r="N92" s="11"/>
      <c r="O92" s="15"/>
      <c r="P92" s="16"/>
    </row>
    <row r="93" spans="1:16" s="4" customFormat="1" x14ac:dyDescent="0.25">
      <c r="A93" s="62" t="s">
        <v>1693</v>
      </c>
      <c r="B93" s="12">
        <v>9781137280930</v>
      </c>
      <c r="C93" s="13" t="s">
        <v>869</v>
      </c>
      <c r="D93" s="14" t="str">
        <f>HYPERLINK("http://www.springer.com/gp/book/9781137280930","Governing Global Finance")</f>
        <v>Governing Global Finance</v>
      </c>
      <c r="E93" s="20" t="s">
        <v>870</v>
      </c>
      <c r="F93" s="15" t="s">
        <v>714</v>
      </c>
      <c r="G93" s="16" t="s">
        <v>1525</v>
      </c>
      <c r="H93" s="17">
        <v>961</v>
      </c>
      <c r="I93" s="37">
        <v>25</v>
      </c>
      <c r="J93" s="59">
        <v>721</v>
      </c>
      <c r="K93" s="40">
        <v>29.99</v>
      </c>
      <c r="L93" s="41" t="s">
        <v>275</v>
      </c>
      <c r="M93" s="19" t="s">
        <v>273</v>
      </c>
      <c r="N93" s="11"/>
      <c r="O93" s="15"/>
      <c r="P93" s="16"/>
    </row>
    <row r="94" spans="1:16" s="4" customFormat="1" x14ac:dyDescent="0.25">
      <c r="A94" s="62" t="s">
        <v>1693</v>
      </c>
      <c r="B94" s="12">
        <v>9780230280885</v>
      </c>
      <c r="C94" s="13" t="s">
        <v>730</v>
      </c>
      <c r="D94" s="14" t="str">
        <f>HYPERLINK("http://www.springer.com/gp/book/9780230280885","Governing Through Technology")</f>
        <v>Governing Through Technology</v>
      </c>
      <c r="E94" s="20" t="s">
        <v>731</v>
      </c>
      <c r="F94" s="15" t="s">
        <v>714</v>
      </c>
      <c r="G94" s="16" t="s">
        <v>1525</v>
      </c>
      <c r="H94" s="17">
        <v>3599</v>
      </c>
      <c r="I94" s="37">
        <v>25</v>
      </c>
      <c r="J94" s="59">
        <v>2699</v>
      </c>
      <c r="K94" s="40">
        <v>114.99</v>
      </c>
      <c r="L94" s="41" t="s">
        <v>275</v>
      </c>
      <c r="M94" s="26" t="s">
        <v>274</v>
      </c>
      <c r="N94" s="11"/>
      <c r="O94" s="15"/>
      <c r="P94" s="16"/>
    </row>
    <row r="95" spans="1:16" s="4" customFormat="1" x14ac:dyDescent="0.25">
      <c r="A95" s="62" t="s">
        <v>1693</v>
      </c>
      <c r="B95" s="12">
        <v>9780230222212</v>
      </c>
      <c r="C95" s="13" t="s">
        <v>910</v>
      </c>
      <c r="D95" s="14" t="str">
        <f>HYPERLINK("http://www.springer.com/gp/book/9780230222212","Government Intervention in Globalization")</f>
        <v>Government Intervention in Globalization</v>
      </c>
      <c r="E95" s="20" t="s">
        <v>914</v>
      </c>
      <c r="F95" s="15" t="s">
        <v>705</v>
      </c>
      <c r="G95" s="16" t="s">
        <v>1525</v>
      </c>
      <c r="H95" s="17">
        <v>3443</v>
      </c>
      <c r="I95" s="37">
        <v>25</v>
      </c>
      <c r="J95" s="59">
        <v>2582</v>
      </c>
      <c r="K95" s="40">
        <v>109.99</v>
      </c>
      <c r="L95" s="41" t="s">
        <v>275</v>
      </c>
      <c r="M95" s="26" t="s">
        <v>274</v>
      </c>
      <c r="N95" s="11"/>
      <c r="O95" s="15"/>
      <c r="P95" s="16"/>
    </row>
    <row r="96" spans="1:16" s="4" customFormat="1" x14ac:dyDescent="0.25">
      <c r="A96" s="62" t="s">
        <v>1693</v>
      </c>
      <c r="B96" s="12">
        <v>9780230356085</v>
      </c>
      <c r="C96" s="13" t="s">
        <v>763</v>
      </c>
      <c r="D96" s="14" t="str">
        <f>HYPERLINK("http://www.springer.com/gp/book/9780230356085","Greek Banking")</f>
        <v>Greek Banking</v>
      </c>
      <c r="E96" s="20" t="s">
        <v>764</v>
      </c>
      <c r="F96" s="15" t="s">
        <v>752</v>
      </c>
      <c r="G96" s="16" t="s">
        <v>1525</v>
      </c>
      <c r="H96" s="17">
        <v>3443</v>
      </c>
      <c r="I96" s="37">
        <v>20</v>
      </c>
      <c r="J96" s="59">
        <v>2754</v>
      </c>
      <c r="K96" s="40">
        <v>109.99</v>
      </c>
      <c r="L96" s="41" t="s">
        <v>275</v>
      </c>
      <c r="M96" s="26" t="s">
        <v>274</v>
      </c>
      <c r="N96" s="11"/>
      <c r="O96" s="15"/>
      <c r="P96" s="16"/>
    </row>
    <row r="97" spans="1:16" s="4" customFormat="1" x14ac:dyDescent="0.25">
      <c r="A97" s="62" t="s">
        <v>1693</v>
      </c>
      <c r="B97" s="12">
        <v>9780230347441</v>
      </c>
      <c r="C97" s="13" t="s">
        <v>692</v>
      </c>
      <c r="D97" s="14" t="str">
        <f>HYPERLINK("http://www.springer.com/gp/book/9780230347441","How Family Firms Differ")</f>
        <v>How Family Firms Differ</v>
      </c>
      <c r="E97" s="20" t="s">
        <v>693</v>
      </c>
      <c r="F97" s="15" t="s">
        <v>694</v>
      </c>
      <c r="G97" s="16" t="s">
        <v>1525</v>
      </c>
      <c r="H97" s="17">
        <v>2973</v>
      </c>
      <c r="I97" s="37">
        <v>20</v>
      </c>
      <c r="J97" s="59">
        <v>2378</v>
      </c>
      <c r="K97" s="40">
        <v>94.99</v>
      </c>
      <c r="L97" s="41" t="s">
        <v>275</v>
      </c>
      <c r="M97" s="26" t="s">
        <v>274</v>
      </c>
      <c r="N97" s="11"/>
      <c r="O97" s="15"/>
      <c r="P97" s="16"/>
    </row>
    <row r="98" spans="1:16" s="4" customFormat="1" x14ac:dyDescent="0.25">
      <c r="A98" s="62" t="s">
        <v>1693</v>
      </c>
      <c r="B98" s="12">
        <v>9780230500587</v>
      </c>
      <c r="C98" s="13" t="s">
        <v>915</v>
      </c>
      <c r="D98" s="14" t="str">
        <f>HYPERLINK("http://www.springer.com/gp/book/9780230500587","Human Development Report 2006")</f>
        <v>Human Development Report 2006</v>
      </c>
      <c r="E98" s="20" t="s">
        <v>916</v>
      </c>
      <c r="F98" s="15" t="s">
        <v>917</v>
      </c>
      <c r="G98" s="16" t="s">
        <v>1525</v>
      </c>
      <c r="H98" s="17">
        <v>961</v>
      </c>
      <c r="I98" s="38">
        <v>30</v>
      </c>
      <c r="J98" s="59">
        <v>673</v>
      </c>
      <c r="K98" s="40">
        <v>29.99</v>
      </c>
      <c r="L98" s="41" t="s">
        <v>275</v>
      </c>
      <c r="M98" s="19" t="s">
        <v>273</v>
      </c>
      <c r="N98" s="11"/>
      <c r="O98" s="15"/>
      <c r="P98" s="16"/>
    </row>
    <row r="99" spans="1:16" s="4" customFormat="1" x14ac:dyDescent="0.25">
      <c r="A99" s="62" t="s">
        <v>1693</v>
      </c>
      <c r="B99" s="12">
        <v>9780230577442</v>
      </c>
      <c r="C99" s="13" t="s">
        <v>774</v>
      </c>
      <c r="D99" s="14" t="str">
        <f>HYPERLINK("http://www.springer.com/gp/book/9780230577442","Changes in Innovation")</f>
        <v>Changes in Innovation</v>
      </c>
      <c r="E99" s="20" t="s">
        <v>775</v>
      </c>
      <c r="F99" s="15" t="s">
        <v>696</v>
      </c>
      <c r="G99" s="16" t="s">
        <v>1525</v>
      </c>
      <c r="H99" s="17">
        <v>3443</v>
      </c>
      <c r="I99" s="37">
        <v>25</v>
      </c>
      <c r="J99" s="59">
        <v>2582</v>
      </c>
      <c r="K99" s="40">
        <v>109.99</v>
      </c>
      <c r="L99" s="41" t="s">
        <v>275</v>
      </c>
      <c r="M99" s="26" t="s">
        <v>274</v>
      </c>
      <c r="N99" s="11"/>
      <c r="O99" s="15"/>
      <c r="P99" s="16"/>
    </row>
    <row r="100" spans="1:16" s="4" customFormat="1" x14ac:dyDescent="0.25">
      <c r="A100" s="62" t="s">
        <v>1693</v>
      </c>
      <c r="B100" s="12">
        <v>9780230538054</v>
      </c>
      <c r="C100" s="13" t="s">
        <v>260</v>
      </c>
      <c r="D100" s="14" t="str">
        <f>HYPERLINK("http://www.springer.com/gp/book/9780230538054","In Defence of Labour Market Institutions")</f>
        <v>In Defence of Labour Market Institutions</v>
      </c>
      <c r="E100" s="20" t="s">
        <v>856</v>
      </c>
      <c r="F100" s="15" t="s">
        <v>705</v>
      </c>
      <c r="G100" s="16" t="s">
        <v>1525</v>
      </c>
      <c r="H100" s="17">
        <v>4069</v>
      </c>
      <c r="I100" s="37">
        <v>25</v>
      </c>
      <c r="J100" s="59">
        <v>3052</v>
      </c>
      <c r="K100" s="40">
        <v>129.99</v>
      </c>
      <c r="L100" s="41" t="s">
        <v>275</v>
      </c>
      <c r="M100" s="26" t="s">
        <v>274</v>
      </c>
      <c r="N100" s="11"/>
      <c r="O100" s="15"/>
      <c r="P100" s="16"/>
    </row>
    <row r="101" spans="1:16" s="4" customFormat="1" x14ac:dyDescent="0.25">
      <c r="A101" s="62" t="s">
        <v>1693</v>
      </c>
      <c r="B101" s="12">
        <v>9780230228047</v>
      </c>
      <c r="C101" s="13" t="s">
        <v>854</v>
      </c>
      <c r="D101" s="14" t="str">
        <f>HYPERLINK("http://www.springer.com/gp/book/9780230228047","Info-Gap Economics")</f>
        <v>Info-Gap Economics</v>
      </c>
      <c r="E101" s="20" t="s">
        <v>855</v>
      </c>
      <c r="F101" s="15" t="s">
        <v>688</v>
      </c>
      <c r="G101" s="16" t="s">
        <v>1525</v>
      </c>
      <c r="H101" s="17">
        <v>3756</v>
      </c>
      <c r="I101" s="37">
        <v>25</v>
      </c>
      <c r="J101" s="59">
        <v>2817</v>
      </c>
      <c r="K101" s="40">
        <v>119.99</v>
      </c>
      <c r="L101" s="41" t="s">
        <v>275</v>
      </c>
      <c r="M101" s="26" t="s">
        <v>274</v>
      </c>
      <c r="N101" s="11"/>
      <c r="O101" s="15"/>
      <c r="P101" s="16"/>
    </row>
    <row r="102" spans="1:16" s="4" customFormat="1" x14ac:dyDescent="0.25">
      <c r="A102" s="62" t="s">
        <v>1693</v>
      </c>
      <c r="B102" s="12">
        <v>9780230205376</v>
      </c>
      <c r="C102" s="13" t="s">
        <v>741</v>
      </c>
      <c r="D102" s="14" t="str">
        <f>HYPERLINK("http://www.springer.com/gp/book/9780230205376","Information Systems and Outsourcing")</f>
        <v>Information Systems and Outsourcing</v>
      </c>
      <c r="E102" s="20" t="s">
        <v>742</v>
      </c>
      <c r="F102" s="15" t="s">
        <v>696</v>
      </c>
      <c r="G102" s="16" t="s">
        <v>1525</v>
      </c>
      <c r="H102" s="17">
        <v>4069</v>
      </c>
      <c r="I102" s="37">
        <v>25</v>
      </c>
      <c r="J102" s="59">
        <v>3052</v>
      </c>
      <c r="K102" s="40">
        <v>129.99</v>
      </c>
      <c r="L102" s="41" t="s">
        <v>275</v>
      </c>
      <c r="M102" s="26" t="s">
        <v>274</v>
      </c>
      <c r="N102" s="11"/>
      <c r="O102" s="15"/>
      <c r="P102" s="16"/>
    </row>
    <row r="103" spans="1:16" s="4" customFormat="1" x14ac:dyDescent="0.25">
      <c r="A103" s="62" t="s">
        <v>1693</v>
      </c>
      <c r="B103" s="22">
        <v>9780230300361</v>
      </c>
      <c r="C103" s="23" t="s">
        <v>525</v>
      </c>
      <c r="D103" s="24" t="s">
        <v>23</v>
      </c>
      <c r="E103" s="23"/>
      <c r="F103" s="25">
        <v>2011</v>
      </c>
      <c r="G103" s="26" t="s">
        <v>1678</v>
      </c>
      <c r="H103" s="27">
        <v>1837</v>
      </c>
      <c r="I103" s="37">
        <v>25</v>
      </c>
      <c r="J103" s="59">
        <v>1378</v>
      </c>
      <c r="K103" s="42">
        <v>44.99</v>
      </c>
      <c r="L103" s="43" t="s">
        <v>272</v>
      </c>
      <c r="M103" s="26" t="s">
        <v>273</v>
      </c>
      <c r="N103" s="21"/>
      <c r="O103" s="25">
        <v>512</v>
      </c>
      <c r="P103" s="28" t="s">
        <v>526</v>
      </c>
    </row>
    <row r="104" spans="1:16" s="4" customFormat="1" x14ac:dyDescent="0.25">
      <c r="A104" s="62" t="s">
        <v>1693</v>
      </c>
      <c r="B104" s="12">
        <v>9780230577435</v>
      </c>
      <c r="C104" s="13" t="s">
        <v>743</v>
      </c>
      <c r="D104" s="14" t="str">
        <f>HYPERLINK("http://www.springer.com/gp/book/9780230577435","Innovation Policies and International Trade Rules")</f>
        <v>Innovation Policies and International Trade Rules</v>
      </c>
      <c r="E104" s="20" t="s">
        <v>744</v>
      </c>
      <c r="F104" s="15" t="s">
        <v>696</v>
      </c>
      <c r="G104" s="16" t="s">
        <v>1525</v>
      </c>
      <c r="H104" s="17">
        <v>3286</v>
      </c>
      <c r="I104" s="37">
        <v>25</v>
      </c>
      <c r="J104" s="59">
        <v>2465</v>
      </c>
      <c r="K104" s="40">
        <v>104.99</v>
      </c>
      <c r="L104" s="41" t="s">
        <v>275</v>
      </c>
      <c r="M104" s="26" t="s">
        <v>274</v>
      </c>
      <c r="N104" s="11"/>
      <c r="O104" s="15"/>
      <c r="P104" s="16"/>
    </row>
    <row r="105" spans="1:16" s="4" customFormat="1" x14ac:dyDescent="0.25">
      <c r="A105" s="62" t="s">
        <v>1693</v>
      </c>
      <c r="B105" s="12">
        <v>9780230241596</v>
      </c>
      <c r="C105" s="13" t="s">
        <v>686</v>
      </c>
      <c r="D105" s="14" t="str">
        <f>HYPERLINK("http://www.springer.com/gp/book/9780230241596","Innovations in Financing Public Services")</f>
        <v>Innovations in Financing Public Services</v>
      </c>
      <c r="E105" s="20" t="s">
        <v>687</v>
      </c>
      <c r="F105" s="15" t="s">
        <v>688</v>
      </c>
      <c r="G105" s="16" t="s">
        <v>1525</v>
      </c>
      <c r="H105" s="17">
        <v>3599</v>
      </c>
      <c r="I105" s="37">
        <v>25</v>
      </c>
      <c r="J105" s="59">
        <v>2699</v>
      </c>
      <c r="K105" s="46">
        <v>114.99</v>
      </c>
      <c r="L105" s="41" t="s">
        <v>275</v>
      </c>
      <c r="M105" s="26" t="s">
        <v>274</v>
      </c>
      <c r="N105" s="11"/>
      <c r="O105" s="15"/>
      <c r="P105" s="16"/>
    </row>
    <row r="106" spans="1:16" s="4" customFormat="1" x14ac:dyDescent="0.25">
      <c r="A106" s="62" t="s">
        <v>1693</v>
      </c>
      <c r="B106" s="12">
        <v>9780230104051</v>
      </c>
      <c r="C106" s="13" t="s">
        <v>790</v>
      </c>
      <c r="D106" s="14" t="str">
        <f>HYPERLINK("http://www.springer.com/gp/book/9780230104051","Innovative Approaches to Global Sustainability")</f>
        <v>Innovative Approaches to Global Sustainability</v>
      </c>
      <c r="E106" s="20"/>
      <c r="F106" s="15" t="s">
        <v>705</v>
      </c>
      <c r="G106" s="16" t="s">
        <v>1525</v>
      </c>
      <c r="H106" s="17">
        <v>961</v>
      </c>
      <c r="I106" s="37">
        <v>25</v>
      </c>
      <c r="J106" s="59">
        <v>721</v>
      </c>
      <c r="K106" s="40">
        <v>29.99</v>
      </c>
      <c r="L106" s="41" t="s">
        <v>275</v>
      </c>
      <c r="M106" s="19" t="s">
        <v>273</v>
      </c>
      <c r="N106" s="11"/>
      <c r="O106" s="15"/>
      <c r="P106" s="16"/>
    </row>
    <row r="107" spans="1:16" s="4" customFormat="1" x14ac:dyDescent="0.25">
      <c r="A107" s="62" t="s">
        <v>1693</v>
      </c>
      <c r="B107" s="12">
        <v>9780230546981</v>
      </c>
      <c r="C107" s="13" t="s">
        <v>891</v>
      </c>
      <c r="D107" s="14" t="str">
        <f>HYPERLINK("http://www.springer.com/gp/book/9780230546981","Institutional Change and Economic Behaviour")</f>
        <v>Institutional Change and Economic Behaviour</v>
      </c>
      <c r="E107" s="20"/>
      <c r="F107" s="15" t="s">
        <v>705</v>
      </c>
      <c r="G107" s="16" t="s">
        <v>1525</v>
      </c>
      <c r="H107" s="17">
        <v>4069</v>
      </c>
      <c r="I107" s="37">
        <v>25</v>
      </c>
      <c r="J107" s="59">
        <v>3052</v>
      </c>
      <c r="K107" s="40">
        <v>129.99</v>
      </c>
      <c r="L107" s="41" t="s">
        <v>275</v>
      </c>
      <c r="M107" s="26" t="s">
        <v>274</v>
      </c>
      <c r="N107" s="11"/>
      <c r="O107" s="15"/>
      <c r="P107" s="16"/>
    </row>
    <row r="108" spans="1:16" s="4" customFormat="1" x14ac:dyDescent="0.25">
      <c r="A108" s="62" t="s">
        <v>1693</v>
      </c>
      <c r="B108" s="12">
        <v>9780230240124</v>
      </c>
      <c r="C108" s="13" t="s">
        <v>857</v>
      </c>
      <c r="D108" s="14" t="str">
        <f>HYPERLINK("http://www.springer.com/gp/book/9780230240124","Interest Rate Models, Asset Allocation and Quantitative Techniques for Central Banks and Sovereign Wealth Funds")</f>
        <v>Interest Rate Models, Asset Allocation and Quantitative Techniques for Central Banks and Sovereign Wealth Funds</v>
      </c>
      <c r="E108" s="20"/>
      <c r="F108" s="15" t="s">
        <v>688</v>
      </c>
      <c r="G108" s="16" t="s">
        <v>1525</v>
      </c>
      <c r="H108" s="17">
        <v>4225</v>
      </c>
      <c r="I108" s="37">
        <v>25</v>
      </c>
      <c r="J108" s="59">
        <v>3169</v>
      </c>
      <c r="K108" s="40">
        <v>134.99</v>
      </c>
      <c r="L108" s="41" t="s">
        <v>275</v>
      </c>
      <c r="M108" s="26" t="s">
        <v>274</v>
      </c>
      <c r="N108" s="11"/>
      <c r="O108" s="15"/>
      <c r="P108" s="16"/>
    </row>
    <row r="109" spans="1:16" s="4" customFormat="1" x14ac:dyDescent="0.25">
      <c r="A109" s="62" t="s">
        <v>1693</v>
      </c>
      <c r="B109" s="29">
        <v>9780230573420</v>
      </c>
      <c r="C109" s="30" t="s">
        <v>218</v>
      </c>
      <c r="D109" s="31" t="s">
        <v>219</v>
      </c>
      <c r="E109" s="30" t="s">
        <v>1568</v>
      </c>
      <c r="F109" s="32">
        <v>2008</v>
      </c>
      <c r="G109" s="19" t="s">
        <v>4</v>
      </c>
      <c r="H109" s="33">
        <v>1102</v>
      </c>
      <c r="I109" s="37">
        <v>25</v>
      </c>
      <c r="J109" s="59">
        <v>827</v>
      </c>
      <c r="K109" s="44">
        <v>26.99</v>
      </c>
      <c r="L109" s="45" t="s">
        <v>272</v>
      </c>
      <c r="M109" s="19" t="s">
        <v>273</v>
      </c>
      <c r="N109" s="29"/>
      <c r="O109" s="18">
        <v>384</v>
      </c>
      <c r="P109" s="19" t="s">
        <v>1569</v>
      </c>
    </row>
    <row r="110" spans="1:16" s="4" customFormat="1" x14ac:dyDescent="0.25">
      <c r="A110" s="62" t="s">
        <v>1693</v>
      </c>
      <c r="B110" s="34">
        <v>9780716799047</v>
      </c>
      <c r="C110" s="23" t="s">
        <v>326</v>
      </c>
      <c r="D110" s="24" t="s">
        <v>327</v>
      </c>
      <c r="E110" s="23"/>
      <c r="F110" s="25">
        <v>2008</v>
      </c>
      <c r="G110" s="19" t="s">
        <v>194</v>
      </c>
      <c r="H110" s="33">
        <v>2163</v>
      </c>
      <c r="I110" s="37">
        <v>25</v>
      </c>
      <c r="J110" s="59">
        <v>1622</v>
      </c>
      <c r="K110" s="44">
        <v>52.99</v>
      </c>
      <c r="L110" s="45" t="s">
        <v>272</v>
      </c>
      <c r="M110" s="19" t="s">
        <v>274</v>
      </c>
      <c r="N110" s="29"/>
      <c r="O110" s="18">
        <v>900</v>
      </c>
      <c r="P110" s="19" t="s">
        <v>1600</v>
      </c>
    </row>
    <row r="111" spans="1:16" s="4" customFormat="1" x14ac:dyDescent="0.25">
      <c r="A111" s="62" t="s">
        <v>1693</v>
      </c>
      <c r="B111" s="12">
        <v>9780230362925</v>
      </c>
      <c r="C111" s="13" t="s">
        <v>83</v>
      </c>
      <c r="D111" s="14" t="str">
        <f>HYPERLINK("http://www.springer.com/gp/book/9780230362925","Internet Econometrics")</f>
        <v>Internet Econometrics</v>
      </c>
      <c r="E111" s="20"/>
      <c r="F111" s="15" t="s">
        <v>752</v>
      </c>
      <c r="G111" s="16" t="s">
        <v>1525</v>
      </c>
      <c r="H111" s="17">
        <v>3443</v>
      </c>
      <c r="I111" s="37">
        <v>20</v>
      </c>
      <c r="J111" s="59">
        <v>2754</v>
      </c>
      <c r="K111" s="40">
        <v>109.99</v>
      </c>
      <c r="L111" s="41" t="s">
        <v>275</v>
      </c>
      <c r="M111" s="26" t="s">
        <v>274</v>
      </c>
      <c r="N111" s="11"/>
      <c r="O111" s="15"/>
      <c r="P111" s="16"/>
    </row>
    <row r="112" spans="1:16" s="4" customFormat="1" x14ac:dyDescent="0.25">
      <c r="A112" s="62" t="s">
        <v>1693</v>
      </c>
      <c r="B112" s="12">
        <v>9780230232471</v>
      </c>
      <c r="C112" s="13" t="s">
        <v>882</v>
      </c>
      <c r="D112" s="14" t="str">
        <f>HYPERLINK("http://www.springer.com/gp/book/9780230232471","Is Economic Growth Sustainable?")</f>
        <v>Is Economic Growth Sustainable?</v>
      </c>
      <c r="E112" s="20"/>
      <c r="F112" s="15" t="s">
        <v>688</v>
      </c>
      <c r="G112" s="16" t="s">
        <v>1525</v>
      </c>
      <c r="H112" s="17">
        <v>3912</v>
      </c>
      <c r="I112" s="37">
        <v>25</v>
      </c>
      <c r="J112" s="59">
        <v>2934</v>
      </c>
      <c r="K112" s="40">
        <v>124.99</v>
      </c>
      <c r="L112" s="41" t="s">
        <v>275</v>
      </c>
      <c r="M112" s="26" t="s">
        <v>274</v>
      </c>
      <c r="N112" s="11"/>
      <c r="O112" s="15"/>
      <c r="P112" s="16"/>
    </row>
    <row r="113" spans="1:16" s="4" customFormat="1" x14ac:dyDescent="0.25">
      <c r="A113" s="62" t="s">
        <v>1693</v>
      </c>
      <c r="B113" s="12">
        <v>9780230581845</v>
      </c>
      <c r="C113" s="13" t="s">
        <v>865</v>
      </c>
      <c r="D113" s="14" t="str">
        <f>HYPERLINK("http://www.springer.com/gp/book/9780230581845","Is the World Trade Organization Attractive Enough For Emerging Economies?")</f>
        <v>Is the World Trade Organization Attractive Enough For Emerging Economies?</v>
      </c>
      <c r="E113" s="20" t="s">
        <v>866</v>
      </c>
      <c r="F113" s="15" t="s">
        <v>688</v>
      </c>
      <c r="G113" s="16" t="s">
        <v>1525</v>
      </c>
      <c r="H113" s="17">
        <v>4069</v>
      </c>
      <c r="I113" s="37">
        <v>25</v>
      </c>
      <c r="J113" s="59">
        <v>3052</v>
      </c>
      <c r="K113" s="40">
        <v>129.99</v>
      </c>
      <c r="L113" s="41" t="s">
        <v>275</v>
      </c>
      <c r="M113" s="26" t="s">
        <v>274</v>
      </c>
      <c r="N113" s="11"/>
      <c r="O113" s="15"/>
      <c r="P113" s="16"/>
    </row>
    <row r="114" spans="1:16" s="4" customFormat="1" x14ac:dyDescent="0.25">
      <c r="A114" s="62" t="s">
        <v>1693</v>
      </c>
      <c r="B114" s="22">
        <v>9781403915283</v>
      </c>
      <c r="C114" s="23" t="s">
        <v>530</v>
      </c>
      <c r="D114" s="24" t="s">
        <v>86</v>
      </c>
      <c r="E114" s="23"/>
      <c r="F114" s="25">
        <v>2004</v>
      </c>
      <c r="G114" s="26" t="s">
        <v>1678</v>
      </c>
      <c r="H114" s="27">
        <v>857</v>
      </c>
      <c r="I114" s="38">
        <v>30</v>
      </c>
      <c r="J114" s="59">
        <v>600</v>
      </c>
      <c r="K114" s="42">
        <v>20.99</v>
      </c>
      <c r="L114" s="43" t="s">
        <v>272</v>
      </c>
      <c r="M114" s="26" t="s">
        <v>273</v>
      </c>
      <c r="N114" s="21"/>
      <c r="O114" s="25">
        <v>320</v>
      </c>
      <c r="P114" s="28" t="s">
        <v>561</v>
      </c>
    </row>
    <row r="115" spans="1:16" s="4" customFormat="1" x14ac:dyDescent="0.25">
      <c r="A115" s="62" t="s">
        <v>1693</v>
      </c>
      <c r="B115" s="22">
        <v>9781403915344</v>
      </c>
      <c r="C115" s="23" t="s">
        <v>530</v>
      </c>
      <c r="D115" s="24" t="s">
        <v>87</v>
      </c>
      <c r="E115" s="23"/>
      <c r="F115" s="25">
        <v>2004</v>
      </c>
      <c r="G115" s="26" t="s">
        <v>1678</v>
      </c>
      <c r="H115" s="27">
        <v>857</v>
      </c>
      <c r="I115" s="38">
        <v>30</v>
      </c>
      <c r="J115" s="59">
        <v>600</v>
      </c>
      <c r="K115" s="42">
        <v>20.99</v>
      </c>
      <c r="L115" s="43" t="s">
        <v>272</v>
      </c>
      <c r="M115" s="26" t="s">
        <v>273</v>
      </c>
      <c r="N115" s="21"/>
      <c r="O115" s="25">
        <v>296</v>
      </c>
      <c r="P115" s="28" t="s">
        <v>592</v>
      </c>
    </row>
    <row r="116" spans="1:16" s="4" customFormat="1" x14ac:dyDescent="0.25">
      <c r="A116" s="62" t="s">
        <v>1693</v>
      </c>
      <c r="B116" s="22">
        <v>9780230224285</v>
      </c>
      <c r="C116" s="23" t="s">
        <v>530</v>
      </c>
      <c r="D116" s="24" t="s">
        <v>90</v>
      </c>
      <c r="E116" s="23"/>
      <c r="F116" s="25">
        <v>2009</v>
      </c>
      <c r="G116" s="26" t="s">
        <v>1678</v>
      </c>
      <c r="H116" s="27">
        <v>857</v>
      </c>
      <c r="I116" s="37">
        <v>25</v>
      </c>
      <c r="J116" s="59">
        <v>643</v>
      </c>
      <c r="K116" s="42">
        <v>20.99</v>
      </c>
      <c r="L116" s="43" t="s">
        <v>272</v>
      </c>
      <c r="M116" s="26" t="s">
        <v>273</v>
      </c>
      <c r="N116" s="21"/>
      <c r="O116" s="25">
        <v>352</v>
      </c>
      <c r="P116" s="28" t="s">
        <v>531</v>
      </c>
    </row>
    <row r="117" spans="1:16" s="4" customFormat="1" x14ac:dyDescent="0.25">
      <c r="A117" s="62" t="s">
        <v>1693</v>
      </c>
      <c r="B117" s="22">
        <v>9781403921352</v>
      </c>
      <c r="C117" s="23" t="s">
        <v>530</v>
      </c>
      <c r="D117" s="24" t="s">
        <v>91</v>
      </c>
      <c r="E117" s="23"/>
      <c r="F117" s="25">
        <v>2004</v>
      </c>
      <c r="G117" s="26" t="s">
        <v>1678</v>
      </c>
      <c r="H117" s="27">
        <v>857</v>
      </c>
      <c r="I117" s="38">
        <v>30</v>
      </c>
      <c r="J117" s="59">
        <v>600</v>
      </c>
      <c r="K117" s="42">
        <v>20.99</v>
      </c>
      <c r="L117" s="43" t="s">
        <v>272</v>
      </c>
      <c r="M117" s="26" t="s">
        <v>273</v>
      </c>
      <c r="N117" s="21"/>
      <c r="O117" s="25">
        <v>304</v>
      </c>
      <c r="P117" s="28" t="s">
        <v>532</v>
      </c>
    </row>
    <row r="118" spans="1:16" s="4" customFormat="1" x14ac:dyDescent="0.25">
      <c r="A118" s="62" t="s">
        <v>1693</v>
      </c>
      <c r="B118" s="22">
        <v>9780230280434</v>
      </c>
      <c r="C118" s="23" t="s">
        <v>534</v>
      </c>
      <c r="D118" s="24" t="s">
        <v>533</v>
      </c>
      <c r="E118" s="23"/>
      <c r="F118" s="25">
        <v>2011</v>
      </c>
      <c r="G118" s="26" t="s">
        <v>1678</v>
      </c>
      <c r="H118" s="27">
        <v>1510</v>
      </c>
      <c r="I118" s="37">
        <v>25</v>
      </c>
      <c r="J118" s="59">
        <v>1133</v>
      </c>
      <c r="K118" s="42">
        <v>36.99</v>
      </c>
      <c r="L118" s="43" t="s">
        <v>272</v>
      </c>
      <c r="M118" s="26" t="s">
        <v>273</v>
      </c>
      <c r="N118" s="21"/>
      <c r="O118" s="25">
        <v>192</v>
      </c>
      <c r="P118" s="28" t="s">
        <v>535</v>
      </c>
    </row>
    <row r="119" spans="1:16" s="4" customFormat="1" x14ac:dyDescent="0.25">
      <c r="A119" s="62" t="s">
        <v>1693</v>
      </c>
      <c r="B119" s="12">
        <v>9780230517042</v>
      </c>
      <c r="C119" s="13" t="s">
        <v>703</v>
      </c>
      <c r="D119" s="14" t="str">
        <f>HYPERLINK("http://www.springer.com/gp/book/9780230517042","Lived Experiences of Public Consumption")</f>
        <v>Lived Experiences of Public Consumption</v>
      </c>
      <c r="E119" s="20" t="s">
        <v>704</v>
      </c>
      <c r="F119" s="15" t="s">
        <v>705</v>
      </c>
      <c r="G119" s="16" t="s">
        <v>1525</v>
      </c>
      <c r="H119" s="17">
        <v>3130</v>
      </c>
      <c r="I119" s="37">
        <v>25</v>
      </c>
      <c r="J119" s="59">
        <v>2348</v>
      </c>
      <c r="K119" s="40">
        <v>99.99</v>
      </c>
      <c r="L119" s="41" t="s">
        <v>275</v>
      </c>
      <c r="M119" s="26" t="s">
        <v>274</v>
      </c>
      <c r="N119" s="11"/>
      <c r="O119" s="15"/>
      <c r="P119" s="16"/>
    </row>
    <row r="120" spans="1:16" s="4" customFormat="1" x14ac:dyDescent="0.25">
      <c r="A120" s="62" t="s">
        <v>1693</v>
      </c>
      <c r="B120" s="12">
        <v>9780230542808</v>
      </c>
      <c r="C120" s="13" t="s">
        <v>873</v>
      </c>
      <c r="D120" s="14" t="str">
        <f>HYPERLINK("http://www.springer.com/gp/book/9780230542808","Macroeconomic Volatility, Institutions and Financial Architectures")</f>
        <v>Macroeconomic Volatility, Institutions and Financial Architectures</v>
      </c>
      <c r="E120" s="20" t="s">
        <v>874</v>
      </c>
      <c r="F120" s="15" t="s">
        <v>705</v>
      </c>
      <c r="G120" s="16" t="s">
        <v>1525</v>
      </c>
      <c r="H120" s="17">
        <v>4538</v>
      </c>
      <c r="I120" s="37">
        <v>25</v>
      </c>
      <c r="J120" s="59">
        <v>3404</v>
      </c>
      <c r="K120" s="40">
        <v>144.99</v>
      </c>
      <c r="L120" s="41" t="s">
        <v>275</v>
      </c>
      <c r="M120" s="26" t="s">
        <v>274</v>
      </c>
      <c r="N120" s="11"/>
      <c r="O120" s="15"/>
      <c r="P120" s="16"/>
    </row>
    <row r="121" spans="1:16" s="4" customFormat="1" x14ac:dyDescent="0.25">
      <c r="A121" s="62" t="s">
        <v>1693</v>
      </c>
      <c r="B121" s="12">
        <v>9780230607583</v>
      </c>
      <c r="C121" s="13" t="s">
        <v>732</v>
      </c>
      <c r="D121" s="14" t="str">
        <f>HYPERLINK("http://www.springer.com/gp/book/9780230607583","Management Theory in Action")</f>
        <v>Management Theory in Action</v>
      </c>
      <c r="E121" s="20" t="s">
        <v>733</v>
      </c>
      <c r="F121" s="15" t="s">
        <v>688</v>
      </c>
      <c r="G121" s="16" t="s">
        <v>1525</v>
      </c>
      <c r="H121" s="17">
        <v>3443</v>
      </c>
      <c r="I121" s="37">
        <v>25</v>
      </c>
      <c r="J121" s="59">
        <v>2582</v>
      </c>
      <c r="K121" s="40">
        <v>109.99</v>
      </c>
      <c r="L121" s="41" t="s">
        <v>275</v>
      </c>
      <c r="M121" s="26" t="s">
        <v>274</v>
      </c>
      <c r="N121" s="11"/>
      <c r="O121" s="15"/>
      <c r="P121" s="16"/>
    </row>
    <row r="122" spans="1:16" s="4" customFormat="1" x14ac:dyDescent="0.25">
      <c r="A122" s="62" t="s">
        <v>1693</v>
      </c>
      <c r="B122" s="12">
        <v>9780230245624</v>
      </c>
      <c r="C122" s="13" t="s">
        <v>746</v>
      </c>
      <c r="D122" s="14" t="str">
        <f>HYPERLINK("http://www.springer.com/gp/book/9780230245624","Managing in a Political World")</f>
        <v>Managing in a Political World</v>
      </c>
      <c r="E122" s="20" t="s">
        <v>747</v>
      </c>
      <c r="F122" s="15" t="s">
        <v>688</v>
      </c>
      <c r="G122" s="16" t="s">
        <v>1525</v>
      </c>
      <c r="H122" s="17">
        <v>3286</v>
      </c>
      <c r="I122" s="37">
        <v>25</v>
      </c>
      <c r="J122" s="59">
        <v>2465</v>
      </c>
      <c r="K122" s="40">
        <v>104.99</v>
      </c>
      <c r="L122" s="41" t="s">
        <v>275</v>
      </c>
      <c r="M122" s="26" t="s">
        <v>274</v>
      </c>
      <c r="N122" s="11"/>
      <c r="O122" s="15"/>
      <c r="P122" s="16"/>
    </row>
    <row r="123" spans="1:16" s="4" customFormat="1" x14ac:dyDescent="0.25">
      <c r="A123" s="62" t="s">
        <v>1693</v>
      </c>
      <c r="B123" s="22">
        <v>9780230298842</v>
      </c>
      <c r="C123" s="23" t="s">
        <v>95</v>
      </c>
      <c r="D123" s="24" t="s">
        <v>536</v>
      </c>
      <c r="E123" s="23"/>
      <c r="F123" s="25">
        <v>2014</v>
      </c>
      <c r="G123" s="26" t="s">
        <v>1678</v>
      </c>
      <c r="H123" s="27">
        <v>1918</v>
      </c>
      <c r="I123" s="37">
        <v>20</v>
      </c>
      <c r="J123" s="59">
        <v>1534</v>
      </c>
      <c r="K123" s="42">
        <v>46.99</v>
      </c>
      <c r="L123" s="43" t="s">
        <v>272</v>
      </c>
      <c r="M123" s="26" t="s">
        <v>273</v>
      </c>
      <c r="N123" s="21"/>
      <c r="O123" s="25">
        <v>436</v>
      </c>
      <c r="P123" s="28" t="s">
        <v>537</v>
      </c>
    </row>
    <row r="124" spans="1:16" s="4" customFormat="1" x14ac:dyDescent="0.25">
      <c r="A124" s="62" t="s">
        <v>1693</v>
      </c>
      <c r="B124" s="12">
        <v>9780230004900</v>
      </c>
      <c r="C124" s="13" t="s">
        <v>887</v>
      </c>
      <c r="D124" s="14" t="str">
        <f>HYPERLINK("http://www.springer.com/gp/book/9780230004900","Many Dimensions of Poverty")</f>
        <v>Many Dimensions of Poverty</v>
      </c>
      <c r="E124" s="20"/>
      <c r="F124" s="15" t="s">
        <v>729</v>
      </c>
      <c r="G124" s="16" t="s">
        <v>1525</v>
      </c>
      <c r="H124" s="17">
        <v>4069</v>
      </c>
      <c r="I124" s="38">
        <v>30</v>
      </c>
      <c r="J124" s="59">
        <v>2848</v>
      </c>
      <c r="K124" s="40">
        <v>129.99</v>
      </c>
      <c r="L124" s="41" t="s">
        <v>275</v>
      </c>
      <c r="M124" s="26" t="s">
        <v>274</v>
      </c>
      <c r="N124" s="11"/>
      <c r="O124" s="15"/>
      <c r="P124" s="16"/>
    </row>
    <row r="125" spans="1:16" s="4" customFormat="1" x14ac:dyDescent="0.25">
      <c r="A125" s="62" t="s">
        <v>1693</v>
      </c>
      <c r="B125" s="29">
        <v>9781403998521</v>
      </c>
      <c r="C125" s="30" t="s">
        <v>96</v>
      </c>
      <c r="D125" s="31" t="s">
        <v>97</v>
      </c>
      <c r="E125" s="30"/>
      <c r="F125" s="32">
        <v>2007</v>
      </c>
      <c r="G125" s="19" t="s">
        <v>4</v>
      </c>
      <c r="H125" s="33">
        <v>1796</v>
      </c>
      <c r="I125" s="38">
        <v>30</v>
      </c>
      <c r="J125" s="59">
        <v>1257</v>
      </c>
      <c r="K125" s="44">
        <v>43.99</v>
      </c>
      <c r="L125" s="45" t="s">
        <v>272</v>
      </c>
      <c r="M125" s="19" t="s">
        <v>273</v>
      </c>
      <c r="N125" s="21" t="s">
        <v>1679</v>
      </c>
      <c r="O125" s="18">
        <v>516</v>
      </c>
      <c r="P125" s="19" t="s">
        <v>1659</v>
      </c>
    </row>
    <row r="126" spans="1:16" s="4" customFormat="1" x14ac:dyDescent="0.25">
      <c r="A126" s="62" t="s">
        <v>1693</v>
      </c>
      <c r="B126" s="12">
        <v>9780230237308</v>
      </c>
      <c r="C126" s="13" t="s">
        <v>709</v>
      </c>
      <c r="D126" s="14" t="str">
        <f>HYPERLINK("http://www.springer.com/gp/book/9780230237308","Marketing Through Turbulent Times")</f>
        <v>Marketing Through Turbulent Times</v>
      </c>
      <c r="E126" s="20"/>
      <c r="F126" s="15" t="s">
        <v>688</v>
      </c>
      <c r="G126" s="16" t="s">
        <v>1525</v>
      </c>
      <c r="H126" s="17">
        <v>1602</v>
      </c>
      <c r="I126" s="37">
        <v>25</v>
      </c>
      <c r="J126" s="59">
        <v>1202</v>
      </c>
      <c r="K126" s="40">
        <v>49.99</v>
      </c>
      <c r="L126" s="41" t="s">
        <v>275</v>
      </c>
      <c r="M126" s="26" t="s">
        <v>274</v>
      </c>
      <c r="N126" s="11"/>
      <c r="O126" s="15"/>
      <c r="P126" s="16"/>
    </row>
    <row r="127" spans="1:16" s="4" customFormat="1" x14ac:dyDescent="0.25">
      <c r="A127" s="62" t="s">
        <v>1693</v>
      </c>
      <c r="B127" s="22">
        <v>9780230216921</v>
      </c>
      <c r="C127" s="23" t="s">
        <v>482</v>
      </c>
      <c r="D127" s="24" t="s">
        <v>248</v>
      </c>
      <c r="E127" s="23"/>
      <c r="F127" s="25">
        <v>2009</v>
      </c>
      <c r="G127" s="26" t="s">
        <v>1678</v>
      </c>
      <c r="H127" s="27">
        <v>898</v>
      </c>
      <c r="I127" s="37">
        <v>25</v>
      </c>
      <c r="J127" s="59">
        <v>674</v>
      </c>
      <c r="K127" s="42">
        <v>21.99</v>
      </c>
      <c r="L127" s="43" t="s">
        <v>272</v>
      </c>
      <c r="M127" s="26" t="s">
        <v>273</v>
      </c>
      <c r="N127" s="21" t="s">
        <v>1682</v>
      </c>
      <c r="O127" s="25">
        <v>496</v>
      </c>
      <c r="P127" s="28" t="s">
        <v>483</v>
      </c>
    </row>
    <row r="128" spans="1:16" s="4" customFormat="1" x14ac:dyDescent="0.25">
      <c r="A128" s="62" t="s">
        <v>1693</v>
      </c>
      <c r="B128" s="29">
        <v>9781403907837</v>
      </c>
      <c r="C128" s="30" t="s">
        <v>220</v>
      </c>
      <c r="D128" s="31" t="s">
        <v>221</v>
      </c>
      <c r="E128" s="30"/>
      <c r="F128" s="32">
        <v>2004</v>
      </c>
      <c r="G128" s="19" t="s">
        <v>4</v>
      </c>
      <c r="H128" s="33">
        <v>710</v>
      </c>
      <c r="I128" s="38">
        <v>30</v>
      </c>
      <c r="J128" s="59">
        <v>497</v>
      </c>
      <c r="K128" s="44">
        <v>16.989999999999998</v>
      </c>
      <c r="L128" s="45" t="s">
        <v>272</v>
      </c>
      <c r="M128" s="19" t="s">
        <v>273</v>
      </c>
      <c r="N128" s="29"/>
      <c r="O128" s="18">
        <v>232</v>
      </c>
      <c r="P128" s="19" t="s">
        <v>1638</v>
      </c>
    </row>
    <row r="129" spans="1:16" s="4" customFormat="1" x14ac:dyDescent="0.25">
      <c r="A129" s="62" t="s">
        <v>1693</v>
      </c>
      <c r="B129" s="12">
        <v>9780230537194</v>
      </c>
      <c r="C129" s="13" t="s">
        <v>998</v>
      </c>
      <c r="D129" s="14" t="str">
        <f>HYPERLINK("http://www.springer.com/gp/book/9780230537194","Mergers and Acquisitions in European Banking")</f>
        <v>Mergers and Acquisitions in European Banking</v>
      </c>
      <c r="E129" s="20"/>
      <c r="F129" s="15" t="s">
        <v>696</v>
      </c>
      <c r="G129" s="16" t="s">
        <v>1525</v>
      </c>
      <c r="H129" s="17">
        <v>3756</v>
      </c>
      <c r="I129" s="37">
        <v>25</v>
      </c>
      <c r="J129" s="59">
        <v>2817</v>
      </c>
      <c r="K129" s="40">
        <v>119.99</v>
      </c>
      <c r="L129" s="41" t="s">
        <v>275</v>
      </c>
      <c r="M129" s="26" t="s">
        <v>274</v>
      </c>
      <c r="N129" s="11"/>
      <c r="O129" s="15"/>
      <c r="P129" s="16"/>
    </row>
    <row r="130" spans="1:16" s="4" customFormat="1" x14ac:dyDescent="0.25">
      <c r="A130" s="62" t="s">
        <v>1693</v>
      </c>
      <c r="B130" s="12">
        <v>9780230228535</v>
      </c>
      <c r="C130" s="13" t="s">
        <v>184</v>
      </c>
      <c r="D130" s="14" t="str">
        <f>HYPERLINK("http://www.springer.com/gp/book/9780230228535","Military Economics")</f>
        <v>Military Economics</v>
      </c>
      <c r="E130" s="20" t="s">
        <v>925</v>
      </c>
      <c r="F130" s="15" t="s">
        <v>696</v>
      </c>
      <c r="G130" s="16" t="s">
        <v>1525</v>
      </c>
      <c r="H130" s="17">
        <v>3443</v>
      </c>
      <c r="I130" s="37">
        <v>25</v>
      </c>
      <c r="J130" s="59">
        <v>2582</v>
      </c>
      <c r="K130" s="40">
        <v>109.99</v>
      </c>
      <c r="L130" s="41" t="s">
        <v>275</v>
      </c>
      <c r="M130" s="26" t="s">
        <v>274</v>
      </c>
      <c r="N130" s="11"/>
      <c r="O130" s="15"/>
      <c r="P130" s="16"/>
    </row>
    <row r="131" spans="1:16" s="4" customFormat="1" x14ac:dyDescent="0.25">
      <c r="A131" s="62" t="s">
        <v>1693</v>
      </c>
      <c r="B131" s="12">
        <v>9781137371638</v>
      </c>
      <c r="C131" s="13" t="s">
        <v>996</v>
      </c>
      <c r="D131" s="14" t="str">
        <f>HYPERLINK("http://www.springer.com/gp/book/9781137371638","Models at Work")</f>
        <v>Models at Work</v>
      </c>
      <c r="E131" s="20" t="s">
        <v>997</v>
      </c>
      <c r="F131" s="15" t="s">
        <v>708</v>
      </c>
      <c r="G131" s="16" t="s">
        <v>1525</v>
      </c>
      <c r="H131" s="17">
        <v>2083</v>
      </c>
      <c r="I131" s="37">
        <v>20</v>
      </c>
      <c r="J131" s="59">
        <v>1666</v>
      </c>
      <c r="K131" s="40">
        <v>64.989999999999995</v>
      </c>
      <c r="L131" s="41" t="s">
        <v>275</v>
      </c>
      <c r="M131" s="26" t="s">
        <v>274</v>
      </c>
      <c r="N131" s="11"/>
      <c r="O131" s="15"/>
      <c r="P131" s="16"/>
    </row>
    <row r="132" spans="1:16" s="4" customFormat="1" x14ac:dyDescent="0.25">
      <c r="A132" s="62" t="s">
        <v>1693</v>
      </c>
      <c r="B132" s="12">
        <v>9781137001856</v>
      </c>
      <c r="C132" s="13" t="s">
        <v>727</v>
      </c>
      <c r="D132" s="14" t="str">
        <f>HYPERLINK("http://www.springer.com/gp/book/9781137001856","Modern Bank Behaviour")</f>
        <v>Modern Bank Behaviour</v>
      </c>
      <c r="E132" s="20"/>
      <c r="F132" s="15" t="s">
        <v>700</v>
      </c>
      <c r="G132" s="16" t="s">
        <v>1525</v>
      </c>
      <c r="H132" s="17">
        <v>3130</v>
      </c>
      <c r="I132" s="37">
        <v>20</v>
      </c>
      <c r="J132" s="59">
        <v>2504</v>
      </c>
      <c r="K132" s="40">
        <v>99.99</v>
      </c>
      <c r="L132" s="41" t="s">
        <v>275</v>
      </c>
      <c r="M132" s="26" t="s">
        <v>274</v>
      </c>
      <c r="N132" s="11"/>
      <c r="O132" s="15"/>
      <c r="P132" s="16"/>
    </row>
    <row r="133" spans="1:16" s="4" customFormat="1" x14ac:dyDescent="0.25">
      <c r="A133" s="62" t="s">
        <v>1693</v>
      </c>
      <c r="B133" s="12">
        <v>9781137340771</v>
      </c>
      <c r="C133" s="13" t="s">
        <v>922</v>
      </c>
      <c r="D133" s="14" t="str">
        <f>HYPERLINK("http://www.springer.com/gp/book/9781137340771","Money, Banking, and the Business Cycle")</f>
        <v>Money, Banking, and the Business Cycle</v>
      </c>
      <c r="E133" s="20" t="s">
        <v>923</v>
      </c>
      <c r="F133" s="15" t="s">
        <v>708</v>
      </c>
      <c r="G133" s="16" t="s">
        <v>1525</v>
      </c>
      <c r="H133" s="17">
        <v>3130</v>
      </c>
      <c r="I133" s="37">
        <v>20</v>
      </c>
      <c r="J133" s="59">
        <v>2504</v>
      </c>
      <c r="K133" s="40">
        <v>99.99</v>
      </c>
      <c r="L133" s="41" t="s">
        <v>275</v>
      </c>
      <c r="M133" s="26" t="s">
        <v>274</v>
      </c>
      <c r="N133" s="11"/>
      <c r="O133" s="15"/>
      <c r="P133" s="16"/>
    </row>
    <row r="134" spans="1:16" s="4" customFormat="1" x14ac:dyDescent="0.25">
      <c r="A134" s="62" t="s">
        <v>1693</v>
      </c>
      <c r="B134" s="12">
        <v>9781137391018</v>
      </c>
      <c r="C134" s="13" t="s">
        <v>776</v>
      </c>
      <c r="D134" s="14" t="str">
        <f>HYPERLINK("http://www.springer.com/gp/book/9781137391018","Negotiating Life")</f>
        <v>Negotiating Life</v>
      </c>
      <c r="E134" s="20" t="s">
        <v>777</v>
      </c>
      <c r="F134" s="15" t="s">
        <v>700</v>
      </c>
      <c r="G134" s="16" t="s">
        <v>1525</v>
      </c>
      <c r="H134" s="17">
        <v>961</v>
      </c>
      <c r="I134" s="37">
        <v>20</v>
      </c>
      <c r="J134" s="59">
        <v>769</v>
      </c>
      <c r="K134" s="40">
        <v>29.99</v>
      </c>
      <c r="L134" s="41" t="s">
        <v>275</v>
      </c>
      <c r="M134" s="19" t="s">
        <v>273</v>
      </c>
      <c r="N134" s="11"/>
      <c r="O134" s="15"/>
      <c r="P134" s="16"/>
    </row>
    <row r="135" spans="1:16" s="4" customFormat="1" x14ac:dyDescent="0.25">
      <c r="A135" s="62" t="s">
        <v>1693</v>
      </c>
      <c r="B135" s="12">
        <v>9780230006935</v>
      </c>
      <c r="C135" s="13" t="s">
        <v>767</v>
      </c>
      <c r="D135" s="14" t="str">
        <f>HYPERLINK("http://www.springer.com/gp/book/9780230006935","New Public Management in Europe")</f>
        <v>New Public Management in Europe</v>
      </c>
      <c r="E135" s="20" t="s">
        <v>768</v>
      </c>
      <c r="F135" s="15" t="s">
        <v>729</v>
      </c>
      <c r="G135" s="16" t="s">
        <v>1525</v>
      </c>
      <c r="H135" s="17">
        <v>4069</v>
      </c>
      <c r="I135" s="38">
        <v>30</v>
      </c>
      <c r="J135" s="59">
        <v>2848</v>
      </c>
      <c r="K135" s="40">
        <v>129.99</v>
      </c>
      <c r="L135" s="41" t="s">
        <v>275</v>
      </c>
      <c r="M135" s="26" t="s">
        <v>274</v>
      </c>
      <c r="N135" s="11"/>
      <c r="O135" s="15"/>
      <c r="P135" s="16"/>
    </row>
    <row r="136" spans="1:16" s="4" customFormat="1" x14ac:dyDescent="0.25">
      <c r="A136" s="62" t="s">
        <v>1693</v>
      </c>
      <c r="B136" s="29">
        <v>9781137279156</v>
      </c>
      <c r="C136" s="30" t="s">
        <v>103</v>
      </c>
      <c r="D136" s="31" t="s">
        <v>1631</v>
      </c>
      <c r="E136" s="30" t="s">
        <v>1630</v>
      </c>
      <c r="F136" s="32">
        <v>2013</v>
      </c>
      <c r="G136" s="19" t="s">
        <v>4</v>
      </c>
      <c r="H136" s="33">
        <v>501</v>
      </c>
      <c r="I136" s="37">
        <v>20</v>
      </c>
      <c r="J136" s="59">
        <v>401</v>
      </c>
      <c r="K136" s="44">
        <v>11.99</v>
      </c>
      <c r="L136" s="45" t="s">
        <v>272</v>
      </c>
      <c r="M136" s="19" t="s">
        <v>273</v>
      </c>
      <c r="N136" s="29"/>
      <c r="O136" s="18">
        <v>256</v>
      </c>
      <c r="P136" s="19" t="s">
        <v>1632</v>
      </c>
    </row>
    <row r="137" spans="1:16" s="4" customFormat="1" x14ac:dyDescent="0.25">
      <c r="A137" s="62" t="s">
        <v>1693</v>
      </c>
      <c r="B137" s="12">
        <v>9780230283657</v>
      </c>
      <c r="C137" s="13" t="s">
        <v>728</v>
      </c>
      <c r="D137" s="14" t="str">
        <f>HYPERLINK("http://www.springer.com/gp/book/9780230283657","Nonlinear Financial Econometrics: Forecasting Models, Computational and Bayesian Models")</f>
        <v>Nonlinear Financial Econometrics: Forecasting Models, Computational and Bayesian Models</v>
      </c>
      <c r="E137" s="20"/>
      <c r="F137" s="15" t="s">
        <v>714</v>
      </c>
      <c r="G137" s="16" t="s">
        <v>1525</v>
      </c>
      <c r="H137" s="17">
        <v>3599</v>
      </c>
      <c r="I137" s="37">
        <v>25</v>
      </c>
      <c r="J137" s="59">
        <v>2699</v>
      </c>
      <c r="K137" s="40">
        <v>114.99</v>
      </c>
      <c r="L137" s="41" t="s">
        <v>275</v>
      </c>
      <c r="M137" s="26" t="s">
        <v>274</v>
      </c>
      <c r="N137" s="11"/>
      <c r="O137" s="15"/>
      <c r="P137" s="16"/>
    </row>
    <row r="138" spans="1:16" s="4" customFormat="1" x14ac:dyDescent="0.25">
      <c r="A138" s="62" t="s">
        <v>1693</v>
      </c>
      <c r="B138" s="12">
        <v>9780230283640</v>
      </c>
      <c r="C138" s="13" t="s">
        <v>728</v>
      </c>
      <c r="D138" s="14" t="str">
        <f>HYPERLINK("http://www.springer.com/gp/book/9780230283640","Nonlinear Financial Econometrics: Markov Switching Models, Persistence and Nonlinear Cointegration")</f>
        <v>Nonlinear Financial Econometrics: Markov Switching Models, Persistence and Nonlinear Cointegration</v>
      </c>
      <c r="E138" s="20"/>
      <c r="F138" s="15" t="s">
        <v>714</v>
      </c>
      <c r="G138" s="16" t="s">
        <v>1525</v>
      </c>
      <c r="H138" s="17">
        <v>3599</v>
      </c>
      <c r="I138" s="37">
        <v>25</v>
      </c>
      <c r="J138" s="59">
        <v>2699</v>
      </c>
      <c r="K138" s="40">
        <v>114.99</v>
      </c>
      <c r="L138" s="41" t="s">
        <v>275</v>
      </c>
      <c r="M138" s="26" t="s">
        <v>274</v>
      </c>
      <c r="N138" s="11"/>
      <c r="O138" s="15"/>
      <c r="P138" s="16"/>
    </row>
    <row r="139" spans="1:16" s="4" customFormat="1" x14ac:dyDescent="0.25">
      <c r="A139" s="62" t="s">
        <v>1693</v>
      </c>
      <c r="B139" s="12">
        <v>9780230577473</v>
      </c>
      <c r="C139" s="13" t="s">
        <v>771</v>
      </c>
      <c r="D139" s="14" t="str">
        <f>HYPERLINK("http://www.springer.com/gp/book/9780230577473","Open Business Innovation Leadership")</f>
        <v>Open Business Innovation Leadership</v>
      </c>
      <c r="E139" s="20" t="s">
        <v>772</v>
      </c>
      <c r="F139" s="15" t="s">
        <v>696</v>
      </c>
      <c r="G139" s="16" t="s">
        <v>1525</v>
      </c>
      <c r="H139" s="17">
        <v>3756</v>
      </c>
      <c r="I139" s="37">
        <v>25</v>
      </c>
      <c r="J139" s="59">
        <v>2817</v>
      </c>
      <c r="K139" s="40">
        <v>119.99</v>
      </c>
      <c r="L139" s="41" t="s">
        <v>275</v>
      </c>
      <c r="M139" s="26" t="s">
        <v>274</v>
      </c>
      <c r="N139" s="11"/>
      <c r="O139" s="15"/>
      <c r="P139" s="16"/>
    </row>
    <row r="140" spans="1:16" s="4" customFormat="1" x14ac:dyDescent="0.25">
      <c r="A140" s="62" t="s">
        <v>1693</v>
      </c>
      <c r="B140" s="12">
        <v>9780230247222</v>
      </c>
      <c r="C140" s="13" t="s">
        <v>780</v>
      </c>
      <c r="D140" s="14" t="str">
        <f>HYPERLINK("http://www.springer.com/gp/book/9780230247222","Organization Philosophy")</f>
        <v>Organization Philosophy</v>
      </c>
      <c r="E140" s="20" t="s">
        <v>781</v>
      </c>
      <c r="F140" s="15" t="s">
        <v>688</v>
      </c>
      <c r="G140" s="16" t="s">
        <v>1525</v>
      </c>
      <c r="H140" s="17">
        <v>3443</v>
      </c>
      <c r="I140" s="37">
        <v>25</v>
      </c>
      <c r="J140" s="59">
        <v>2582</v>
      </c>
      <c r="K140" s="40">
        <v>109.99</v>
      </c>
      <c r="L140" s="41" t="s">
        <v>275</v>
      </c>
      <c r="M140" s="26" t="s">
        <v>274</v>
      </c>
      <c r="N140" s="11"/>
      <c r="O140" s="15"/>
      <c r="P140" s="16"/>
    </row>
    <row r="141" spans="1:16" s="4" customFormat="1" x14ac:dyDescent="0.25">
      <c r="A141" s="62" t="s">
        <v>1693</v>
      </c>
      <c r="B141" s="12">
        <v>9780230542945</v>
      </c>
      <c r="C141" s="13" t="s">
        <v>753</v>
      </c>
      <c r="D141" s="14" t="str">
        <f>HYPERLINK("http://www.springer.com/gp/book/9780230542945","Organizing and Reorganizing")</f>
        <v>Organizing and Reorganizing</v>
      </c>
      <c r="E141" s="20" t="s">
        <v>754</v>
      </c>
      <c r="F141" s="15" t="s">
        <v>705</v>
      </c>
      <c r="G141" s="16" t="s">
        <v>1525</v>
      </c>
      <c r="H141" s="17">
        <v>3443</v>
      </c>
      <c r="I141" s="37">
        <v>25</v>
      </c>
      <c r="J141" s="59">
        <v>2582</v>
      </c>
      <c r="K141" s="40">
        <v>109.99</v>
      </c>
      <c r="L141" s="41" t="s">
        <v>275</v>
      </c>
      <c r="M141" s="26" t="s">
        <v>274</v>
      </c>
      <c r="N141" s="11"/>
      <c r="O141" s="15"/>
      <c r="P141" s="16"/>
    </row>
    <row r="142" spans="1:16" s="4" customFormat="1" x14ac:dyDescent="0.25">
      <c r="A142" s="62" t="s">
        <v>1693</v>
      </c>
      <c r="B142" s="12">
        <v>9780230229549</v>
      </c>
      <c r="C142" s="13" t="s">
        <v>167</v>
      </c>
      <c r="D142" s="14" t="str">
        <f>HYPERLINK("http://www.springer.com/gp/book/9780230229549","People Management in Turbulent Times")</f>
        <v>People Management in Turbulent Times</v>
      </c>
      <c r="E142" s="20"/>
      <c r="F142" s="15" t="s">
        <v>696</v>
      </c>
      <c r="G142" s="16" t="s">
        <v>1525</v>
      </c>
      <c r="H142" s="17">
        <v>1602</v>
      </c>
      <c r="I142" s="37">
        <v>25</v>
      </c>
      <c r="J142" s="59">
        <v>1202</v>
      </c>
      <c r="K142" s="40">
        <v>49.99</v>
      </c>
      <c r="L142" s="41" t="s">
        <v>275</v>
      </c>
      <c r="M142" s="19" t="s">
        <v>273</v>
      </c>
      <c r="N142" s="11"/>
      <c r="O142" s="15"/>
      <c r="P142" s="16"/>
    </row>
    <row r="143" spans="1:16" s="4" customFormat="1" x14ac:dyDescent="0.25">
      <c r="A143" s="62" t="s">
        <v>1693</v>
      </c>
      <c r="B143" s="12">
        <v>9781137355195</v>
      </c>
      <c r="C143" s="13" t="s">
        <v>880</v>
      </c>
      <c r="D143" s="14" t="str">
        <f>HYPERLINK("http://www.springer.com/gp/book/9781137355195","Politicising Democracy")</f>
        <v>Politicising Democracy</v>
      </c>
      <c r="E143" s="20" t="s">
        <v>881</v>
      </c>
      <c r="F143" s="15" t="s">
        <v>808</v>
      </c>
      <c r="G143" s="16" t="s">
        <v>1525</v>
      </c>
      <c r="H143" s="17">
        <v>961</v>
      </c>
      <c r="I143" s="38">
        <v>30</v>
      </c>
      <c r="J143" s="59">
        <v>673</v>
      </c>
      <c r="K143" s="40">
        <v>29.99</v>
      </c>
      <c r="L143" s="41" t="s">
        <v>275</v>
      </c>
      <c r="M143" s="19" t="s">
        <v>273</v>
      </c>
      <c r="N143" s="11"/>
      <c r="O143" s="15"/>
      <c r="P143" s="16"/>
    </row>
    <row r="144" spans="1:16" s="4" customFormat="1" x14ac:dyDescent="0.25">
      <c r="A144" s="62" t="s">
        <v>1693</v>
      </c>
      <c r="B144" s="12">
        <v>9780230553590</v>
      </c>
      <c r="C144" s="13" t="s">
        <v>896</v>
      </c>
      <c r="D144" s="14" t="str">
        <f>HYPERLINK("http://www.springer.com/gp/book/9780230553590","Powerful Finance and Innovation Trends in a High-Risk Economy")</f>
        <v>Powerful Finance and Innovation Trends in a High-Risk Economy</v>
      </c>
      <c r="E144" s="20"/>
      <c r="F144" s="15" t="s">
        <v>705</v>
      </c>
      <c r="G144" s="16" t="s">
        <v>1525</v>
      </c>
      <c r="H144" s="17">
        <v>4069</v>
      </c>
      <c r="I144" s="37">
        <v>25</v>
      </c>
      <c r="J144" s="59">
        <v>3052</v>
      </c>
      <c r="K144" s="40">
        <v>129.99</v>
      </c>
      <c r="L144" s="41" t="s">
        <v>275</v>
      </c>
      <c r="M144" s="26" t="s">
        <v>274</v>
      </c>
      <c r="N144" s="11"/>
      <c r="O144" s="15"/>
      <c r="P144" s="16"/>
    </row>
    <row r="145" spans="1:16" s="4" customFormat="1" x14ac:dyDescent="0.25">
      <c r="A145" s="62" t="s">
        <v>1693</v>
      </c>
      <c r="B145" s="12">
        <v>9780230104525</v>
      </c>
      <c r="C145" s="13" t="s">
        <v>734</v>
      </c>
      <c r="D145" s="14" t="str">
        <f>HYPERLINK("http://www.springer.com/gp/book/9780230104525","Practical Sustainability")</f>
        <v>Practical Sustainability</v>
      </c>
      <c r="E145" s="20" t="s">
        <v>735</v>
      </c>
      <c r="F145" s="15" t="s">
        <v>714</v>
      </c>
      <c r="G145" s="16" t="s">
        <v>1525</v>
      </c>
      <c r="H145" s="17">
        <v>2243</v>
      </c>
      <c r="I145" s="37">
        <v>25</v>
      </c>
      <c r="J145" s="59">
        <v>1682</v>
      </c>
      <c r="K145" s="40">
        <v>69.989999999999995</v>
      </c>
      <c r="L145" s="41" t="s">
        <v>275</v>
      </c>
      <c r="M145" s="26" t="s">
        <v>274</v>
      </c>
      <c r="N145" s="11"/>
      <c r="O145" s="15"/>
      <c r="P145" s="16"/>
    </row>
    <row r="146" spans="1:16" s="4" customFormat="1" x14ac:dyDescent="0.25">
      <c r="A146" s="62" t="s">
        <v>1693</v>
      </c>
      <c r="B146" s="12">
        <v>9781137354051</v>
      </c>
      <c r="C146" s="13" t="s">
        <v>769</v>
      </c>
      <c r="D146" s="14" t="str">
        <f>HYPERLINK("http://www.springer.com/gp/book/9781137354051","Preparing for Today's Global Job Market")</f>
        <v>Preparing for Today's Global Job Market</v>
      </c>
      <c r="E146" s="20" t="s">
        <v>770</v>
      </c>
      <c r="F146" s="15" t="s">
        <v>700</v>
      </c>
      <c r="G146" s="16" t="s">
        <v>1525</v>
      </c>
      <c r="H146" s="17">
        <v>1762</v>
      </c>
      <c r="I146" s="37">
        <v>20</v>
      </c>
      <c r="J146" s="59">
        <v>1410</v>
      </c>
      <c r="K146" s="40">
        <v>54.99</v>
      </c>
      <c r="L146" s="41" t="s">
        <v>275</v>
      </c>
      <c r="M146" s="26" t="s">
        <v>274</v>
      </c>
      <c r="N146" s="11"/>
      <c r="O146" s="15"/>
      <c r="P146" s="16"/>
    </row>
    <row r="147" spans="1:16" s="4" customFormat="1" x14ac:dyDescent="0.25">
      <c r="A147" s="62" t="s">
        <v>1693</v>
      </c>
      <c r="B147" s="12">
        <v>9780230004894</v>
      </c>
      <c r="C147" s="13" t="s">
        <v>887</v>
      </c>
      <c r="D147" s="14" t="str">
        <f>HYPERLINK("http://www.springer.com/gp/book/9780230004894","Quantitative Approaches to Multidimensional Poverty Measurement")</f>
        <v>Quantitative Approaches to Multidimensional Poverty Measurement</v>
      </c>
      <c r="E147" s="20"/>
      <c r="F147" s="15" t="s">
        <v>705</v>
      </c>
      <c r="G147" s="16" t="s">
        <v>1525</v>
      </c>
      <c r="H147" s="17">
        <v>4069</v>
      </c>
      <c r="I147" s="37">
        <v>25</v>
      </c>
      <c r="J147" s="59">
        <v>3052</v>
      </c>
      <c r="K147" s="40">
        <v>129.99</v>
      </c>
      <c r="L147" s="41" t="s">
        <v>275</v>
      </c>
      <c r="M147" s="26" t="s">
        <v>274</v>
      </c>
      <c r="N147" s="11"/>
      <c r="O147" s="15"/>
      <c r="P147" s="16"/>
    </row>
    <row r="148" spans="1:16" s="4" customFormat="1" x14ac:dyDescent="0.25">
      <c r="A148" s="62" t="s">
        <v>1693</v>
      </c>
      <c r="B148" s="12">
        <v>9780230521513</v>
      </c>
      <c r="C148" s="13" t="s">
        <v>871</v>
      </c>
      <c r="D148" s="14" t="str">
        <f>HYPERLINK("http://www.springer.com/gp/book/9780230521513","Rapid Credit Growth in Central and Eastern Europe")</f>
        <v>Rapid Credit Growth in Central and Eastern Europe</v>
      </c>
      <c r="E148" s="20" t="s">
        <v>872</v>
      </c>
      <c r="F148" s="15" t="s">
        <v>729</v>
      </c>
      <c r="G148" s="16" t="s">
        <v>1525</v>
      </c>
      <c r="H148" s="17">
        <v>4225</v>
      </c>
      <c r="I148" s="38">
        <v>30</v>
      </c>
      <c r="J148" s="59">
        <v>2958</v>
      </c>
      <c r="K148" s="40">
        <v>134.99</v>
      </c>
      <c r="L148" s="41" t="s">
        <v>275</v>
      </c>
      <c r="M148" s="26" t="s">
        <v>274</v>
      </c>
      <c r="N148" s="11"/>
      <c r="O148" s="15"/>
      <c r="P148" s="16"/>
    </row>
    <row r="149" spans="1:16" s="4" customFormat="1" x14ac:dyDescent="0.25">
      <c r="A149" s="62" t="s">
        <v>1693</v>
      </c>
      <c r="B149" s="12">
        <v>9780230220188</v>
      </c>
      <c r="C149" s="13" t="s">
        <v>902</v>
      </c>
      <c r="D149" s="14" t="str">
        <f>HYPERLINK("http://www.springer.com/gp/book/9780230220188","Real Convergence in Central, Eastern and South-Eastern Europe")</f>
        <v>Real Convergence in Central, Eastern and South-Eastern Europe</v>
      </c>
      <c r="E149" s="20"/>
      <c r="F149" s="15" t="s">
        <v>696</v>
      </c>
      <c r="G149" s="16" t="s">
        <v>1525</v>
      </c>
      <c r="H149" s="17">
        <v>3443</v>
      </c>
      <c r="I149" s="37">
        <v>25</v>
      </c>
      <c r="J149" s="59">
        <v>2582</v>
      </c>
      <c r="K149" s="40">
        <v>109.99</v>
      </c>
      <c r="L149" s="41" t="s">
        <v>275</v>
      </c>
      <c r="M149" s="26" t="s">
        <v>274</v>
      </c>
      <c r="N149" s="11"/>
      <c r="O149" s="15"/>
      <c r="P149" s="16"/>
    </row>
    <row r="150" spans="1:16" s="4" customFormat="1" x14ac:dyDescent="0.25">
      <c r="A150" s="62" t="s">
        <v>1693</v>
      </c>
      <c r="B150" s="12">
        <v>9781137395566</v>
      </c>
      <c r="C150" s="13" t="s">
        <v>765</v>
      </c>
      <c r="D150" s="14" t="str">
        <f>HYPERLINK("http://www.springer.com/gp/book/9781137395566","Real Luxury")</f>
        <v>Real Luxury</v>
      </c>
      <c r="E150" s="20" t="s">
        <v>766</v>
      </c>
      <c r="F150" s="15" t="s">
        <v>708</v>
      </c>
      <c r="G150" s="16" t="s">
        <v>1525</v>
      </c>
      <c r="H150" s="17">
        <v>961</v>
      </c>
      <c r="I150" s="37">
        <v>20</v>
      </c>
      <c r="J150" s="59">
        <v>769</v>
      </c>
      <c r="K150" s="40">
        <v>29.99</v>
      </c>
      <c r="L150" s="41" t="s">
        <v>275</v>
      </c>
      <c r="M150" s="26" t="s">
        <v>274</v>
      </c>
      <c r="N150" s="11"/>
      <c r="O150" s="15"/>
      <c r="P150" s="16"/>
    </row>
    <row r="151" spans="1:16" s="4" customFormat="1" x14ac:dyDescent="0.25">
      <c r="A151" s="62" t="s">
        <v>1693</v>
      </c>
      <c r="B151" s="12">
        <v>9781137360939</v>
      </c>
      <c r="C151" s="13" t="s">
        <v>978</v>
      </c>
      <c r="D151" s="14" t="str">
        <f>HYPERLINK("http://www.springer.com/gp/book/9781137360939","Redesigning Professional Education Doctorates")</f>
        <v>Redesigning Professional Education Doctorates</v>
      </c>
      <c r="E151" s="20" t="s">
        <v>979</v>
      </c>
      <c r="F151" s="15" t="s">
        <v>700</v>
      </c>
      <c r="G151" s="16" t="s">
        <v>1525</v>
      </c>
      <c r="H151" s="17">
        <v>2817</v>
      </c>
      <c r="I151" s="37">
        <v>20</v>
      </c>
      <c r="J151" s="59">
        <v>2254</v>
      </c>
      <c r="K151" s="40">
        <v>89.99</v>
      </c>
      <c r="L151" s="41" t="s">
        <v>275</v>
      </c>
      <c r="M151" s="26" t="s">
        <v>274</v>
      </c>
      <c r="N151" s="11"/>
      <c r="O151" s="15"/>
      <c r="P151" s="16"/>
    </row>
    <row r="152" spans="1:16" s="4" customFormat="1" x14ac:dyDescent="0.25">
      <c r="A152" s="62" t="s">
        <v>1693</v>
      </c>
      <c r="B152" s="12">
        <v>9781403942418</v>
      </c>
      <c r="C152" s="13" t="s">
        <v>858</v>
      </c>
      <c r="D152" s="14" t="str">
        <f>HYPERLINK("http://www.springer.com/gp/book/9781403942418","Rediscovering Schumpeter")</f>
        <v>Rediscovering Schumpeter</v>
      </c>
      <c r="E152" s="20" t="s">
        <v>859</v>
      </c>
      <c r="F152" s="15" t="s">
        <v>729</v>
      </c>
      <c r="G152" s="16" t="s">
        <v>1525</v>
      </c>
      <c r="H152" s="17">
        <v>5008</v>
      </c>
      <c r="I152" s="38">
        <v>30</v>
      </c>
      <c r="J152" s="59">
        <v>3506</v>
      </c>
      <c r="K152" s="40">
        <v>159.99</v>
      </c>
      <c r="L152" s="41" t="s">
        <v>275</v>
      </c>
      <c r="M152" s="26" t="s">
        <v>274</v>
      </c>
      <c r="N152" s="11"/>
      <c r="O152" s="15"/>
      <c r="P152" s="16"/>
    </row>
    <row r="153" spans="1:16" s="4" customFormat="1" x14ac:dyDescent="0.25">
      <c r="A153" s="62" t="s">
        <v>1693</v>
      </c>
      <c r="B153" s="12">
        <v>9780230239036</v>
      </c>
      <c r="C153" s="13" t="s">
        <v>910</v>
      </c>
      <c r="D153" s="14" t="str">
        <f>HYPERLINK("http://www.springer.com/gp/book/9780230239036","Regulation of Banks and Finance")</f>
        <v>Regulation of Banks and Finance</v>
      </c>
      <c r="E153" s="20" t="s">
        <v>913</v>
      </c>
      <c r="F153" s="15" t="s">
        <v>696</v>
      </c>
      <c r="G153" s="16" t="s">
        <v>1525</v>
      </c>
      <c r="H153" s="17">
        <v>3599</v>
      </c>
      <c r="I153" s="37">
        <v>25</v>
      </c>
      <c r="J153" s="59">
        <v>2699</v>
      </c>
      <c r="K153" s="40">
        <v>114.99</v>
      </c>
      <c r="L153" s="41" t="s">
        <v>275</v>
      </c>
      <c r="M153" s="26" t="s">
        <v>274</v>
      </c>
      <c r="N153" s="11"/>
      <c r="O153" s="15"/>
      <c r="P153" s="16"/>
    </row>
    <row r="154" spans="1:16" s="4" customFormat="1" x14ac:dyDescent="0.25">
      <c r="A154" s="62" t="s">
        <v>1693</v>
      </c>
      <c r="B154" s="12">
        <v>9780230241565</v>
      </c>
      <c r="C154" s="13" t="s">
        <v>876</v>
      </c>
      <c r="D154" s="14" t="str">
        <f>HYPERLINK("http://www.springer.com/gp/book/9780230241565","Report on the State of the European Union")</f>
        <v>Report on the State of the European Union</v>
      </c>
      <c r="E154" s="20" t="s">
        <v>877</v>
      </c>
      <c r="F154" s="15" t="s">
        <v>688</v>
      </c>
      <c r="G154" s="16" t="s">
        <v>1525</v>
      </c>
      <c r="H154" s="17">
        <v>3443</v>
      </c>
      <c r="I154" s="37">
        <v>25</v>
      </c>
      <c r="J154" s="59">
        <v>2582</v>
      </c>
      <c r="K154" s="40">
        <v>109.99</v>
      </c>
      <c r="L154" s="41" t="s">
        <v>275</v>
      </c>
      <c r="M154" s="26" t="s">
        <v>274</v>
      </c>
      <c r="N154" s="11"/>
      <c r="O154" s="15"/>
      <c r="P154" s="16"/>
    </row>
    <row r="155" spans="1:16" s="4" customFormat="1" x14ac:dyDescent="0.25">
      <c r="A155" s="62" t="s">
        <v>1693</v>
      </c>
      <c r="B155" s="29">
        <v>9781137278623</v>
      </c>
      <c r="C155" s="30" t="s">
        <v>250</v>
      </c>
      <c r="D155" s="31" t="s">
        <v>1628</v>
      </c>
      <c r="E155" s="30" t="s">
        <v>1627</v>
      </c>
      <c r="F155" s="32">
        <v>2013</v>
      </c>
      <c r="G155" s="19" t="s">
        <v>4</v>
      </c>
      <c r="H155" s="33">
        <v>751</v>
      </c>
      <c r="I155" s="37">
        <v>20</v>
      </c>
      <c r="J155" s="59">
        <v>601</v>
      </c>
      <c r="K155" s="44">
        <v>17.989999999999998</v>
      </c>
      <c r="L155" s="45" t="s">
        <v>272</v>
      </c>
      <c r="M155" s="19" t="s">
        <v>274</v>
      </c>
      <c r="N155" s="29"/>
      <c r="O155" s="18">
        <v>256</v>
      </c>
      <c r="P155" s="19" t="s">
        <v>1629</v>
      </c>
    </row>
    <row r="156" spans="1:16" s="4" customFormat="1" x14ac:dyDescent="0.25">
      <c r="A156" s="62" t="s">
        <v>1693</v>
      </c>
      <c r="B156" s="12">
        <v>9780230006812</v>
      </c>
      <c r="C156" s="13" t="s">
        <v>223</v>
      </c>
      <c r="D156" s="14" t="str">
        <f>HYPERLINK("http://www.springer.com/gp/book/9780230006812","Retail Security and Loss Prevention")</f>
        <v>Retail Security and Loss Prevention</v>
      </c>
      <c r="E156" s="20"/>
      <c r="F156" s="15" t="s">
        <v>729</v>
      </c>
      <c r="G156" s="16" t="s">
        <v>1525</v>
      </c>
      <c r="H156" s="17">
        <v>3599</v>
      </c>
      <c r="I156" s="38">
        <v>30</v>
      </c>
      <c r="J156" s="59">
        <v>2519</v>
      </c>
      <c r="K156" s="40">
        <v>114.99</v>
      </c>
      <c r="L156" s="41" t="s">
        <v>275</v>
      </c>
      <c r="M156" s="26" t="s">
        <v>274</v>
      </c>
      <c r="N156" s="21" t="s">
        <v>1679</v>
      </c>
      <c r="O156" s="15"/>
      <c r="P156" s="16"/>
    </row>
    <row r="157" spans="1:16" s="4" customFormat="1" x14ac:dyDescent="0.25">
      <c r="A157" s="62" t="s">
        <v>1693</v>
      </c>
      <c r="B157" s="12">
        <v>9780230577312</v>
      </c>
      <c r="C157" s="13" t="s">
        <v>689</v>
      </c>
      <c r="D157" s="14" t="str">
        <f>HYPERLINK("http://www.springer.com/gp/book/9780230577312","Risk and Financial Catastrophe")</f>
        <v>Risk and Financial Catastrophe</v>
      </c>
      <c r="E157" s="20"/>
      <c r="F157" s="15" t="s">
        <v>696</v>
      </c>
      <c r="G157" s="16" t="s">
        <v>1525</v>
      </c>
      <c r="H157" s="17">
        <v>7481</v>
      </c>
      <c r="I157" s="37">
        <v>25</v>
      </c>
      <c r="J157" s="59">
        <v>5611</v>
      </c>
      <c r="K157" s="40">
        <v>239</v>
      </c>
      <c r="L157" s="41" t="s">
        <v>275</v>
      </c>
      <c r="M157" s="26" t="s">
        <v>274</v>
      </c>
      <c r="N157" s="11"/>
      <c r="O157" s="15"/>
      <c r="P157" s="16"/>
    </row>
    <row r="158" spans="1:16" s="4" customFormat="1" x14ac:dyDescent="0.25">
      <c r="A158" s="62" t="s">
        <v>1693</v>
      </c>
      <c r="B158" s="12">
        <v>9780230620490</v>
      </c>
      <c r="C158" s="13" t="s">
        <v>897</v>
      </c>
      <c r="D158" s="14" t="str">
        <f>HYPERLINK("http://www.springer.com/gp/book/9780230620490","Risk Regulation in the United States and European Union")</f>
        <v>Risk Regulation in the United States and European Union</v>
      </c>
      <c r="E158" s="20" t="s">
        <v>898</v>
      </c>
      <c r="F158" s="15" t="s">
        <v>688</v>
      </c>
      <c r="G158" s="16" t="s">
        <v>1525</v>
      </c>
      <c r="H158" s="17">
        <v>3130</v>
      </c>
      <c r="I158" s="37">
        <v>25</v>
      </c>
      <c r="J158" s="59">
        <v>2348</v>
      </c>
      <c r="K158" s="40">
        <v>99.99</v>
      </c>
      <c r="L158" s="41" t="s">
        <v>275</v>
      </c>
      <c r="M158" s="26" t="s">
        <v>274</v>
      </c>
      <c r="N158" s="11"/>
      <c r="O158" s="15"/>
      <c r="P158" s="16"/>
    </row>
    <row r="159" spans="1:16" s="4" customFormat="1" x14ac:dyDescent="0.25">
      <c r="A159" s="62" t="s">
        <v>1693</v>
      </c>
      <c r="B159" s="12">
        <v>9780230542785</v>
      </c>
      <c r="C159" s="13" t="s">
        <v>936</v>
      </c>
      <c r="D159" s="14" t="str">
        <f>HYPERLINK("http://www.springer.com/gp/book/9780230542785","Russia's Development Problem")</f>
        <v>Russia's Development Problem</v>
      </c>
      <c r="E159" s="20" t="s">
        <v>937</v>
      </c>
      <c r="F159" s="15" t="s">
        <v>705</v>
      </c>
      <c r="G159" s="16" t="s">
        <v>1525</v>
      </c>
      <c r="H159" s="17">
        <v>3443</v>
      </c>
      <c r="I159" s="37">
        <v>25</v>
      </c>
      <c r="J159" s="59">
        <v>2582</v>
      </c>
      <c r="K159" s="40">
        <v>109.99</v>
      </c>
      <c r="L159" s="41" t="s">
        <v>275</v>
      </c>
      <c r="M159" s="26" t="s">
        <v>274</v>
      </c>
      <c r="N159" s="11"/>
      <c r="O159" s="15"/>
      <c r="P159" s="16"/>
    </row>
    <row r="160" spans="1:16" s="4" customFormat="1" x14ac:dyDescent="0.25">
      <c r="A160" s="62" t="s">
        <v>1693</v>
      </c>
      <c r="B160" s="29">
        <v>9780230342118</v>
      </c>
      <c r="C160" s="30" t="s">
        <v>251</v>
      </c>
      <c r="D160" s="31" t="s">
        <v>252</v>
      </c>
      <c r="E160" s="30" t="s">
        <v>1549</v>
      </c>
      <c r="F160" s="32">
        <v>2013</v>
      </c>
      <c r="G160" s="19" t="s">
        <v>4</v>
      </c>
      <c r="H160" s="33">
        <v>751</v>
      </c>
      <c r="I160" s="37">
        <v>20</v>
      </c>
      <c r="J160" s="59">
        <v>601</v>
      </c>
      <c r="K160" s="44">
        <v>17.989999999999998</v>
      </c>
      <c r="L160" s="45" t="s">
        <v>272</v>
      </c>
      <c r="M160" s="19" t="s">
        <v>274</v>
      </c>
      <c r="N160" s="29"/>
      <c r="O160" s="18">
        <v>256</v>
      </c>
      <c r="P160" s="19" t="s">
        <v>1550</v>
      </c>
    </row>
    <row r="161" spans="1:16" s="4" customFormat="1" x14ac:dyDescent="0.25">
      <c r="A161" s="62" t="s">
        <v>1693</v>
      </c>
      <c r="B161" s="12">
        <v>9780230220720</v>
      </c>
      <c r="C161" s="13" t="s">
        <v>761</v>
      </c>
      <c r="D161" s="14" t="str">
        <f>HYPERLINK("http://www.springer.com/gp/book/9780230220720","Standards-Battles in Open Source Software")</f>
        <v>Standards-Battles in Open Source Software</v>
      </c>
      <c r="E161" s="20" t="s">
        <v>762</v>
      </c>
      <c r="F161" s="15" t="s">
        <v>705</v>
      </c>
      <c r="G161" s="16" t="s">
        <v>1525</v>
      </c>
      <c r="H161" s="17">
        <v>3756</v>
      </c>
      <c r="I161" s="37">
        <v>25</v>
      </c>
      <c r="J161" s="59">
        <v>2817</v>
      </c>
      <c r="K161" s="40">
        <v>119.99</v>
      </c>
      <c r="L161" s="41" t="s">
        <v>275</v>
      </c>
      <c r="M161" s="26" t="s">
        <v>274</v>
      </c>
      <c r="N161" s="11"/>
      <c r="O161" s="15"/>
      <c r="P161" s="16"/>
    </row>
    <row r="162" spans="1:16" s="4" customFormat="1" x14ac:dyDescent="0.25">
      <c r="A162" s="62" t="s">
        <v>1693</v>
      </c>
      <c r="B162" s="22">
        <v>9780230205116</v>
      </c>
      <c r="C162" s="23" t="s">
        <v>566</v>
      </c>
      <c r="D162" s="24" t="s">
        <v>565</v>
      </c>
      <c r="E162" s="23"/>
      <c r="F162" s="25">
        <v>2008</v>
      </c>
      <c r="G162" s="26" t="s">
        <v>1678</v>
      </c>
      <c r="H162" s="27">
        <v>1796</v>
      </c>
      <c r="I162" s="37">
        <v>25</v>
      </c>
      <c r="J162" s="59">
        <v>1347</v>
      </c>
      <c r="K162" s="42">
        <v>43.99</v>
      </c>
      <c r="L162" s="43" t="s">
        <v>272</v>
      </c>
      <c r="M162" s="26" t="s">
        <v>273</v>
      </c>
      <c r="N162" s="21"/>
      <c r="O162" s="25">
        <v>288</v>
      </c>
      <c r="P162" s="28" t="s">
        <v>567</v>
      </c>
    </row>
    <row r="163" spans="1:16" s="4" customFormat="1" x14ac:dyDescent="0.25">
      <c r="A163" s="62" t="s">
        <v>1693</v>
      </c>
      <c r="B163" s="12">
        <v>9780230235601</v>
      </c>
      <c r="C163" s="13" t="s">
        <v>0</v>
      </c>
      <c r="D163" s="14" t="str">
        <f>HYPERLINK("http://www.springer.com/gp/book/9780230235601","Stress in Turbulent Times")</f>
        <v>Stress in Turbulent Times</v>
      </c>
      <c r="E163" s="20"/>
      <c r="F163" s="15" t="s">
        <v>752</v>
      </c>
      <c r="G163" s="16" t="s">
        <v>1525</v>
      </c>
      <c r="H163" s="17">
        <v>961</v>
      </c>
      <c r="I163" s="37">
        <v>20</v>
      </c>
      <c r="J163" s="59">
        <v>769</v>
      </c>
      <c r="K163" s="40">
        <v>29.99</v>
      </c>
      <c r="L163" s="41" t="s">
        <v>275</v>
      </c>
      <c r="M163" s="26" t="s">
        <v>274</v>
      </c>
      <c r="N163" s="11"/>
      <c r="O163" s="15"/>
      <c r="P163" s="16"/>
    </row>
    <row r="164" spans="1:16" s="4" customFormat="1" x14ac:dyDescent="0.25">
      <c r="A164" s="62" t="s">
        <v>1693</v>
      </c>
      <c r="B164" s="12">
        <v>9780230573437</v>
      </c>
      <c r="C164" s="13" t="s">
        <v>721</v>
      </c>
      <c r="D164" s="14" t="str">
        <f>HYPERLINK("http://www.springer.com/gp/book/9780230573437","Supply Chain Management and Knowledge Management")</f>
        <v>Supply Chain Management and Knowledge Management</v>
      </c>
      <c r="E164" s="20" t="s">
        <v>722</v>
      </c>
      <c r="F164" s="15" t="s">
        <v>696</v>
      </c>
      <c r="G164" s="16" t="s">
        <v>1525</v>
      </c>
      <c r="H164" s="17">
        <v>3912</v>
      </c>
      <c r="I164" s="37">
        <v>25</v>
      </c>
      <c r="J164" s="59">
        <v>2934</v>
      </c>
      <c r="K164" s="40">
        <v>124.99</v>
      </c>
      <c r="L164" s="41" t="s">
        <v>275</v>
      </c>
      <c r="M164" s="26" t="s">
        <v>274</v>
      </c>
      <c r="N164" s="11"/>
      <c r="O164" s="15"/>
      <c r="P164" s="16"/>
    </row>
    <row r="165" spans="1:16" s="4" customFormat="1" x14ac:dyDescent="0.25">
      <c r="A165" s="62" t="s">
        <v>1693</v>
      </c>
      <c r="B165" s="12">
        <v>9780230212985</v>
      </c>
      <c r="C165" s="13" t="s">
        <v>759</v>
      </c>
      <c r="D165" s="14" t="str">
        <f>HYPERLINK("http://www.springer.com/gp/book/9780230212985","Sustainability Strategies")</f>
        <v>Sustainability Strategies</v>
      </c>
      <c r="E165" s="20" t="s">
        <v>760</v>
      </c>
      <c r="F165" s="15" t="s">
        <v>696</v>
      </c>
      <c r="G165" s="16" t="s">
        <v>1525</v>
      </c>
      <c r="H165" s="17">
        <v>1602</v>
      </c>
      <c r="I165" s="37">
        <v>25</v>
      </c>
      <c r="J165" s="59">
        <v>1202</v>
      </c>
      <c r="K165" s="40">
        <v>49.99</v>
      </c>
      <c r="L165" s="41" t="s">
        <v>275</v>
      </c>
      <c r="M165" s="26" t="s">
        <v>274</v>
      </c>
      <c r="N165" s="11"/>
      <c r="O165" s="15"/>
      <c r="P165" s="16"/>
    </row>
    <row r="166" spans="1:16" s="4" customFormat="1" x14ac:dyDescent="0.25">
      <c r="A166" s="62" t="s">
        <v>1693</v>
      </c>
      <c r="B166" s="12">
        <v>9781137382696</v>
      </c>
      <c r="C166" s="13" t="s">
        <v>931</v>
      </c>
      <c r="D166" s="14" t="str">
        <f>HYPERLINK("http://www.springer.com/gp/book/9781137382696","Sustainable Civilization")</f>
        <v>Sustainable Civilization</v>
      </c>
      <c r="E166" s="20"/>
      <c r="F166" s="15" t="s">
        <v>708</v>
      </c>
      <c r="G166" s="16" t="s">
        <v>1525</v>
      </c>
      <c r="H166" s="17">
        <v>2817</v>
      </c>
      <c r="I166" s="37">
        <v>20</v>
      </c>
      <c r="J166" s="59">
        <v>2254</v>
      </c>
      <c r="K166" s="40">
        <v>89.99</v>
      </c>
      <c r="L166" s="41" t="s">
        <v>275</v>
      </c>
      <c r="M166" s="26" t="s">
        <v>274</v>
      </c>
      <c r="N166" s="11"/>
      <c r="O166" s="15"/>
      <c r="P166" s="16"/>
    </row>
    <row r="167" spans="1:16" s="4" customFormat="1" x14ac:dyDescent="0.25">
      <c r="A167" s="62" t="s">
        <v>1693</v>
      </c>
      <c r="B167" s="12">
        <v>9780230241749</v>
      </c>
      <c r="C167" s="13" t="s">
        <v>867</v>
      </c>
      <c r="D167" s="14" t="str">
        <f>HYPERLINK("http://www.springer.com/gp/book/9780230241749","Sustainable Energy")</f>
        <v>Sustainable Energy</v>
      </c>
      <c r="E167" s="20" t="s">
        <v>868</v>
      </c>
      <c r="F167" s="15" t="s">
        <v>729</v>
      </c>
      <c r="G167" s="16" t="s">
        <v>1525</v>
      </c>
      <c r="H167" s="17">
        <v>1121</v>
      </c>
      <c r="I167" s="38">
        <v>30</v>
      </c>
      <c r="J167" s="59">
        <v>785</v>
      </c>
      <c r="K167" s="40">
        <v>34.99</v>
      </c>
      <c r="L167" s="41" t="s">
        <v>275</v>
      </c>
      <c r="M167" s="19" t="s">
        <v>273</v>
      </c>
      <c r="N167" s="11"/>
      <c r="O167" s="15"/>
      <c r="P167" s="16"/>
    </row>
    <row r="168" spans="1:16" s="4" customFormat="1" x14ac:dyDescent="0.25">
      <c r="A168" s="62" t="s">
        <v>1693</v>
      </c>
      <c r="B168" s="29">
        <v>9781137278470</v>
      </c>
      <c r="C168" s="30" t="s">
        <v>134</v>
      </c>
      <c r="D168" s="31" t="s">
        <v>1625</v>
      </c>
      <c r="E168" s="30" t="s">
        <v>1624</v>
      </c>
      <c r="F168" s="32">
        <v>2013</v>
      </c>
      <c r="G168" s="19" t="s">
        <v>4</v>
      </c>
      <c r="H168" s="33">
        <v>710</v>
      </c>
      <c r="I168" s="37">
        <v>20</v>
      </c>
      <c r="J168" s="59">
        <v>568</v>
      </c>
      <c r="K168" s="44">
        <v>16.989999999999998</v>
      </c>
      <c r="L168" s="45" t="s">
        <v>272</v>
      </c>
      <c r="M168" s="19" t="s">
        <v>274</v>
      </c>
      <c r="N168" s="29"/>
      <c r="O168" s="18">
        <v>256</v>
      </c>
      <c r="P168" s="19" t="s">
        <v>1626</v>
      </c>
    </row>
    <row r="169" spans="1:16" s="4" customFormat="1" x14ac:dyDescent="0.25">
      <c r="A169" s="62" t="s">
        <v>1693</v>
      </c>
      <c r="B169" s="12">
        <v>9780230224193</v>
      </c>
      <c r="C169" s="13" t="s">
        <v>135</v>
      </c>
      <c r="D169" s="14" t="str">
        <f>HYPERLINK("http://www.springer.com/gp/book/9780230224193","Talent Management")</f>
        <v>Talent Management</v>
      </c>
      <c r="E169" s="20" t="s">
        <v>695</v>
      </c>
      <c r="F169" s="15" t="s">
        <v>696</v>
      </c>
      <c r="G169" s="16" t="s">
        <v>1525</v>
      </c>
      <c r="H169" s="17">
        <v>3756</v>
      </c>
      <c r="I169" s="37">
        <v>25</v>
      </c>
      <c r="J169" s="59">
        <v>2817</v>
      </c>
      <c r="K169" s="40">
        <v>119.99</v>
      </c>
      <c r="L169" s="41" t="s">
        <v>275</v>
      </c>
      <c r="M169" s="26" t="s">
        <v>274</v>
      </c>
      <c r="N169" s="11"/>
      <c r="O169" s="15"/>
      <c r="P169" s="16"/>
    </row>
    <row r="170" spans="1:16" s="4" customFormat="1" x14ac:dyDescent="0.25">
      <c r="A170" s="62" t="s">
        <v>1693</v>
      </c>
      <c r="B170" s="12">
        <v>9780230230767</v>
      </c>
      <c r="C170" s="13" t="s">
        <v>755</v>
      </c>
      <c r="D170" s="14" t="str">
        <f>HYPERLINK("http://www.springer.com/gp/book/9780230230767","Technological Innovation and Public Policy")</f>
        <v>Technological Innovation and Public Policy</v>
      </c>
      <c r="E170" s="20" t="s">
        <v>756</v>
      </c>
      <c r="F170" s="15" t="s">
        <v>714</v>
      </c>
      <c r="G170" s="16" t="s">
        <v>1525</v>
      </c>
      <c r="H170" s="17">
        <v>3130</v>
      </c>
      <c r="I170" s="37">
        <v>25</v>
      </c>
      <c r="J170" s="59">
        <v>2348</v>
      </c>
      <c r="K170" s="40">
        <v>99.99</v>
      </c>
      <c r="L170" s="41" t="s">
        <v>275</v>
      </c>
      <c r="M170" s="26" t="s">
        <v>274</v>
      </c>
      <c r="N170" s="11"/>
      <c r="O170" s="15"/>
      <c r="P170" s="16"/>
    </row>
    <row r="171" spans="1:16" s="4" customFormat="1" x14ac:dyDescent="0.25">
      <c r="A171" s="62" t="s">
        <v>1693</v>
      </c>
      <c r="B171" s="22">
        <v>9781137020109</v>
      </c>
      <c r="C171" s="23" t="s">
        <v>493</v>
      </c>
      <c r="D171" s="24" t="s">
        <v>492</v>
      </c>
      <c r="E171" s="23"/>
      <c r="F171" s="25">
        <v>2014</v>
      </c>
      <c r="G171" s="26" t="s">
        <v>1678</v>
      </c>
      <c r="H171" s="27">
        <v>1592</v>
      </c>
      <c r="I171" s="37">
        <v>20</v>
      </c>
      <c r="J171" s="59">
        <v>1274</v>
      </c>
      <c r="K171" s="42">
        <v>38.99</v>
      </c>
      <c r="L171" s="43" t="s">
        <v>272</v>
      </c>
      <c r="M171" s="26" t="s">
        <v>273</v>
      </c>
      <c r="N171" s="21"/>
      <c r="O171" s="25">
        <v>424</v>
      </c>
      <c r="P171" s="28" t="s">
        <v>494</v>
      </c>
    </row>
    <row r="172" spans="1:16" s="4" customFormat="1" x14ac:dyDescent="0.25">
      <c r="A172" s="62" t="s">
        <v>1693</v>
      </c>
      <c r="B172" s="22">
        <v>9780230233348</v>
      </c>
      <c r="C172" s="23" t="s">
        <v>397</v>
      </c>
      <c r="D172" s="24" t="s">
        <v>396</v>
      </c>
      <c r="E172" s="23"/>
      <c r="F172" s="25">
        <v>2010</v>
      </c>
      <c r="G172" s="26" t="s">
        <v>1678</v>
      </c>
      <c r="H172" s="27">
        <v>1918</v>
      </c>
      <c r="I172" s="37">
        <v>25</v>
      </c>
      <c r="J172" s="59">
        <v>1439</v>
      </c>
      <c r="K172" s="42">
        <v>46.99</v>
      </c>
      <c r="L172" s="43" t="s">
        <v>272</v>
      </c>
      <c r="M172" s="26" t="s">
        <v>273</v>
      </c>
      <c r="N172" s="21"/>
      <c r="O172" s="25">
        <v>296</v>
      </c>
      <c r="P172" s="28" t="s">
        <v>398</v>
      </c>
    </row>
    <row r="173" spans="1:16" s="4" customFormat="1" x14ac:dyDescent="0.25">
      <c r="A173" s="62" t="s">
        <v>1693</v>
      </c>
      <c r="B173" s="12">
        <v>9781137347039</v>
      </c>
      <c r="C173" s="13" t="s">
        <v>706</v>
      </c>
      <c r="D173" s="14" t="str">
        <f>HYPERLINK("http://www.springer.com/gp/book/9781137347039","The 10 Principles of Open Business")</f>
        <v>The 10 Principles of Open Business</v>
      </c>
      <c r="E173" s="20" t="s">
        <v>707</v>
      </c>
      <c r="F173" s="15" t="s">
        <v>708</v>
      </c>
      <c r="G173" s="16" t="s">
        <v>1525</v>
      </c>
      <c r="H173" s="17">
        <v>961</v>
      </c>
      <c r="I173" s="37">
        <v>20</v>
      </c>
      <c r="J173" s="59">
        <v>769</v>
      </c>
      <c r="K173" s="40">
        <v>29.99</v>
      </c>
      <c r="L173" s="41" t="s">
        <v>275</v>
      </c>
      <c r="M173" s="26" t="s">
        <v>274</v>
      </c>
      <c r="N173" s="11"/>
      <c r="O173" s="15"/>
      <c r="P173" s="16"/>
    </row>
    <row r="174" spans="1:16" s="4" customFormat="1" x14ac:dyDescent="0.25">
      <c r="A174" s="62" t="s">
        <v>1693</v>
      </c>
      <c r="B174" s="34">
        <v>9780716774785</v>
      </c>
      <c r="C174" s="23" t="s">
        <v>309</v>
      </c>
      <c r="D174" s="24" t="s">
        <v>310</v>
      </c>
      <c r="E174" s="23"/>
      <c r="F174" s="25">
        <v>2007</v>
      </c>
      <c r="G174" s="19" t="s">
        <v>194</v>
      </c>
      <c r="H174" s="27">
        <v>1918</v>
      </c>
      <c r="I174" s="38">
        <v>30</v>
      </c>
      <c r="J174" s="59">
        <v>1343</v>
      </c>
      <c r="K174" s="42">
        <v>46.99</v>
      </c>
      <c r="L174" s="45" t="s">
        <v>272</v>
      </c>
      <c r="M174" s="19" t="s">
        <v>274</v>
      </c>
      <c r="N174" s="21" t="s">
        <v>1681</v>
      </c>
      <c r="O174" s="35">
        <v>700</v>
      </c>
      <c r="P174" s="19" t="s">
        <v>1595</v>
      </c>
    </row>
    <row r="175" spans="1:16" s="4" customFormat="1" x14ac:dyDescent="0.25">
      <c r="A175" s="62" t="s">
        <v>1693</v>
      </c>
      <c r="B175" s="12">
        <v>9781403987419</v>
      </c>
      <c r="C175" s="13" t="s">
        <v>862</v>
      </c>
      <c r="D175" s="14" t="str">
        <f>HYPERLINK("http://www.springer.com/gp/book/9781403987419","The Economics of Organizational Design")</f>
        <v>The Economics of Organizational Design</v>
      </c>
      <c r="E175" s="20" t="s">
        <v>863</v>
      </c>
      <c r="F175" s="15" t="s">
        <v>705</v>
      </c>
      <c r="G175" s="16" t="s">
        <v>1525</v>
      </c>
      <c r="H175" s="17">
        <v>3443</v>
      </c>
      <c r="I175" s="37">
        <v>25</v>
      </c>
      <c r="J175" s="59">
        <v>2582</v>
      </c>
      <c r="K175" s="40">
        <v>109.99</v>
      </c>
      <c r="L175" s="41" t="s">
        <v>275</v>
      </c>
      <c r="M175" s="26" t="s">
        <v>274</v>
      </c>
      <c r="N175" s="11"/>
      <c r="O175" s="15"/>
      <c r="P175" s="16"/>
    </row>
    <row r="176" spans="1:16" s="4" customFormat="1" x14ac:dyDescent="0.25">
      <c r="A176" s="62" t="s">
        <v>1693</v>
      </c>
      <c r="B176" s="12">
        <v>9780230228467</v>
      </c>
      <c r="C176" s="13" t="s">
        <v>146</v>
      </c>
      <c r="D176" s="14" t="str">
        <f>HYPERLINK("http://www.springer.com/gp/book/9780230228467","The Fear Factor")</f>
        <v>The Fear Factor</v>
      </c>
      <c r="E176" s="20" t="s">
        <v>1000</v>
      </c>
      <c r="F176" s="15" t="s">
        <v>696</v>
      </c>
      <c r="G176" s="16" t="s">
        <v>1525</v>
      </c>
      <c r="H176" s="17">
        <v>1602</v>
      </c>
      <c r="I176" s="37">
        <v>25</v>
      </c>
      <c r="J176" s="59">
        <v>1202</v>
      </c>
      <c r="K176" s="40">
        <v>49.99</v>
      </c>
      <c r="L176" s="41" t="s">
        <v>275</v>
      </c>
      <c r="M176" s="26" t="s">
        <v>274</v>
      </c>
      <c r="N176" s="11"/>
      <c r="O176" s="15"/>
      <c r="P176" s="16"/>
    </row>
    <row r="177" spans="1:16" s="4" customFormat="1" x14ac:dyDescent="0.25">
      <c r="A177" s="62" t="s">
        <v>1693</v>
      </c>
      <c r="B177" s="12">
        <v>9780230290181</v>
      </c>
      <c r="C177" s="13" t="s">
        <v>906</v>
      </c>
      <c r="D177" s="14" t="str">
        <f>HYPERLINK("http://www.springer.com/gp/book/9780230290181","The Foundations of Modern Time Series Analysis")</f>
        <v>The Foundations of Modern Time Series Analysis</v>
      </c>
      <c r="E177" s="20"/>
      <c r="F177" s="15" t="s">
        <v>714</v>
      </c>
      <c r="G177" s="16" t="s">
        <v>1525</v>
      </c>
      <c r="H177" s="17">
        <v>4695</v>
      </c>
      <c r="I177" s="37">
        <v>25</v>
      </c>
      <c r="J177" s="59">
        <v>3521</v>
      </c>
      <c r="K177" s="40">
        <v>149.99</v>
      </c>
      <c r="L177" s="41" t="s">
        <v>275</v>
      </c>
      <c r="M177" s="26" t="s">
        <v>274</v>
      </c>
      <c r="N177" s="11"/>
      <c r="O177" s="15"/>
      <c r="P177" s="16"/>
    </row>
    <row r="178" spans="1:16" s="4" customFormat="1" x14ac:dyDescent="0.25">
      <c r="A178" s="62" t="s">
        <v>1693</v>
      </c>
      <c r="B178" s="12">
        <v>9781137335364</v>
      </c>
      <c r="C178" s="13" t="s">
        <v>748</v>
      </c>
      <c r="D178" s="14" t="str">
        <f>HYPERLINK("http://www.springer.com/gp/book/9781137335364","The Frugal Innovator")</f>
        <v>The Frugal Innovator</v>
      </c>
      <c r="E178" s="20" t="s">
        <v>749</v>
      </c>
      <c r="F178" s="15" t="s">
        <v>708</v>
      </c>
      <c r="G178" s="16" t="s">
        <v>1525</v>
      </c>
      <c r="H178" s="17">
        <v>801</v>
      </c>
      <c r="I178" s="37">
        <v>20</v>
      </c>
      <c r="J178" s="59">
        <v>641</v>
      </c>
      <c r="K178" s="40">
        <v>24.99</v>
      </c>
      <c r="L178" s="41" t="s">
        <v>275</v>
      </c>
      <c r="M178" s="26" t="s">
        <v>274</v>
      </c>
      <c r="N178" s="11"/>
      <c r="O178" s="15"/>
      <c r="P178" s="16"/>
    </row>
    <row r="179" spans="1:16" s="4" customFormat="1" x14ac:dyDescent="0.25">
      <c r="A179" s="62" t="s">
        <v>1693</v>
      </c>
      <c r="B179" s="12">
        <v>9780230219878</v>
      </c>
      <c r="C179" s="13" t="s">
        <v>792</v>
      </c>
      <c r="D179" s="14" t="str">
        <f>HYPERLINK("http://www.springer.com/gp/book/9780230219878","The Future International Manager")</f>
        <v>The Future International Manager</v>
      </c>
      <c r="E179" s="20" t="s">
        <v>793</v>
      </c>
      <c r="F179" s="15" t="s">
        <v>696</v>
      </c>
      <c r="G179" s="16" t="s">
        <v>1525</v>
      </c>
      <c r="H179" s="17">
        <v>3443</v>
      </c>
      <c r="I179" s="37">
        <v>25</v>
      </c>
      <c r="J179" s="59">
        <v>2582</v>
      </c>
      <c r="K179" s="40">
        <v>109.99</v>
      </c>
      <c r="L179" s="41" t="s">
        <v>275</v>
      </c>
      <c r="M179" s="26" t="s">
        <v>274</v>
      </c>
      <c r="N179" s="11"/>
      <c r="O179" s="15"/>
      <c r="P179" s="16"/>
    </row>
    <row r="180" spans="1:16" s="4" customFormat="1" x14ac:dyDescent="0.25">
      <c r="A180" s="62" t="s">
        <v>1693</v>
      </c>
      <c r="B180" s="29">
        <v>9781403996374</v>
      </c>
      <c r="C180" s="30" t="s">
        <v>152</v>
      </c>
      <c r="D180" s="31" t="s">
        <v>153</v>
      </c>
      <c r="E180" s="30"/>
      <c r="F180" s="32">
        <v>2007</v>
      </c>
      <c r="G180" s="19" t="s">
        <v>4</v>
      </c>
      <c r="H180" s="33">
        <v>4338</v>
      </c>
      <c r="I180" s="38">
        <v>30</v>
      </c>
      <c r="J180" s="59">
        <v>3037</v>
      </c>
      <c r="K180" s="44">
        <v>108.79</v>
      </c>
      <c r="L180" s="45" t="s">
        <v>272</v>
      </c>
      <c r="M180" s="19" t="s">
        <v>273</v>
      </c>
      <c r="N180" s="29"/>
      <c r="O180" s="18">
        <v>600</v>
      </c>
      <c r="P180" s="19" t="s">
        <v>1658</v>
      </c>
    </row>
    <row r="181" spans="1:16" s="4" customFormat="1" x14ac:dyDescent="0.25">
      <c r="A181" s="62" t="s">
        <v>1693</v>
      </c>
      <c r="B181" s="12">
        <v>9780230243415</v>
      </c>
      <c r="C181" s="13" t="s">
        <v>287</v>
      </c>
      <c r="D181" s="14" t="str">
        <f>HYPERLINK("http://www.springer.com/gp/book/9780230243415","The Global Crash")</f>
        <v>The Global Crash</v>
      </c>
      <c r="E181" s="20" t="s">
        <v>928</v>
      </c>
      <c r="F181" s="15" t="s">
        <v>688</v>
      </c>
      <c r="G181" s="16" t="s">
        <v>1525</v>
      </c>
      <c r="H181" s="17">
        <v>3443</v>
      </c>
      <c r="I181" s="37">
        <v>25</v>
      </c>
      <c r="J181" s="59">
        <v>2582</v>
      </c>
      <c r="K181" s="40">
        <v>109.99</v>
      </c>
      <c r="L181" s="41" t="s">
        <v>275</v>
      </c>
      <c r="M181" s="26" t="s">
        <v>274</v>
      </c>
      <c r="N181" s="11"/>
      <c r="O181" s="15"/>
      <c r="P181" s="16"/>
    </row>
    <row r="182" spans="1:16" s="4" customFormat="1" x14ac:dyDescent="0.25">
      <c r="A182" s="62" t="s">
        <v>1693</v>
      </c>
      <c r="B182" s="12">
        <v>9780230103757</v>
      </c>
      <c r="C182" s="13" t="s">
        <v>934</v>
      </c>
      <c r="D182" s="14" t="str">
        <f>HYPERLINK("http://www.springer.com/gp/book/9780230103757","The Grand Convergence")</f>
        <v>The Grand Convergence</v>
      </c>
      <c r="E182" s="20" t="s">
        <v>935</v>
      </c>
      <c r="F182" s="15" t="s">
        <v>688</v>
      </c>
      <c r="G182" s="16" t="s">
        <v>1525</v>
      </c>
      <c r="H182" s="17">
        <v>3443</v>
      </c>
      <c r="I182" s="37">
        <v>25</v>
      </c>
      <c r="J182" s="59">
        <v>2582</v>
      </c>
      <c r="K182" s="40">
        <v>109.99</v>
      </c>
      <c r="L182" s="41" t="s">
        <v>275</v>
      </c>
      <c r="M182" s="26" t="s">
        <v>274</v>
      </c>
      <c r="N182" s="11"/>
      <c r="O182" s="15"/>
      <c r="P182" s="16"/>
    </row>
    <row r="183" spans="1:16" s="4" customFormat="1" x14ac:dyDescent="0.25">
      <c r="A183" s="62" t="s">
        <v>1693</v>
      </c>
      <c r="B183" s="12">
        <v>9781137437426</v>
      </c>
      <c r="C183" s="13" t="s">
        <v>738</v>
      </c>
      <c r="D183" s="14" t="str">
        <f>HYPERLINK("http://www.springer.com/gp/book/9781137437426","The Handbook of Global Outsourcing and Offshoring 3rd edition")</f>
        <v>The Handbook of Global Outsourcing and Offshoring 3rd edition</v>
      </c>
      <c r="E183" s="20"/>
      <c r="F183" s="15" t="s">
        <v>694</v>
      </c>
      <c r="G183" s="16" t="s">
        <v>1525</v>
      </c>
      <c r="H183" s="17">
        <v>1442</v>
      </c>
      <c r="I183" s="37">
        <v>20</v>
      </c>
      <c r="J183" s="59">
        <v>1154</v>
      </c>
      <c r="K183" s="40">
        <v>44.99</v>
      </c>
      <c r="L183" s="41" t="s">
        <v>275</v>
      </c>
      <c r="M183" s="26" t="s">
        <v>274</v>
      </c>
      <c r="N183" s="21" t="s">
        <v>1680</v>
      </c>
      <c r="O183" s="15"/>
      <c r="P183" s="16"/>
    </row>
    <row r="184" spans="1:16" s="4" customFormat="1" x14ac:dyDescent="0.25">
      <c r="A184" s="62" t="s">
        <v>1693</v>
      </c>
      <c r="B184" s="12">
        <v>9780230220812</v>
      </c>
      <c r="C184" s="13" t="s">
        <v>778</v>
      </c>
      <c r="D184" s="14" t="str">
        <f>HYPERLINK("http://www.springer.com/gp/book/9780230220812","The Hidden Dynamics of Path Dependence")</f>
        <v>The Hidden Dynamics of Path Dependence</v>
      </c>
      <c r="E184" s="20" t="s">
        <v>779</v>
      </c>
      <c r="F184" s="15" t="s">
        <v>688</v>
      </c>
      <c r="G184" s="16" t="s">
        <v>1525</v>
      </c>
      <c r="H184" s="17">
        <v>3443</v>
      </c>
      <c r="I184" s="37">
        <v>25</v>
      </c>
      <c r="J184" s="59">
        <v>2582</v>
      </c>
      <c r="K184" s="40">
        <v>109.99</v>
      </c>
      <c r="L184" s="41" t="s">
        <v>275</v>
      </c>
      <c r="M184" s="26" t="s">
        <v>274</v>
      </c>
      <c r="N184" s="11"/>
      <c r="O184" s="15"/>
      <c r="P184" s="16"/>
    </row>
    <row r="185" spans="1:16" s="4" customFormat="1" x14ac:dyDescent="0.25">
      <c r="A185" s="62" t="s">
        <v>1693</v>
      </c>
      <c r="B185" s="12">
        <v>9780230612273</v>
      </c>
      <c r="C185" s="13" t="s">
        <v>888</v>
      </c>
      <c r="D185" s="14" t="str">
        <f>HYPERLINK("http://www.springer.com/gp/book/9780230612273","The Challenge of Eurocentrism")</f>
        <v>The Challenge of Eurocentrism</v>
      </c>
      <c r="E185" s="20" t="s">
        <v>889</v>
      </c>
      <c r="F185" s="15" t="s">
        <v>696</v>
      </c>
      <c r="G185" s="16" t="s">
        <v>1525</v>
      </c>
      <c r="H185" s="17">
        <v>3286</v>
      </c>
      <c r="I185" s="37">
        <v>25</v>
      </c>
      <c r="J185" s="59">
        <v>2465</v>
      </c>
      <c r="K185" s="40">
        <v>104.99</v>
      </c>
      <c r="L185" s="41" t="s">
        <v>275</v>
      </c>
      <c r="M185" s="26" t="s">
        <v>274</v>
      </c>
      <c r="N185" s="11"/>
      <c r="O185" s="15"/>
      <c r="P185" s="16"/>
    </row>
    <row r="186" spans="1:16" s="4" customFormat="1" x14ac:dyDescent="0.25">
      <c r="A186" s="62" t="s">
        <v>1693</v>
      </c>
      <c r="B186" s="12">
        <v>9781137277497</v>
      </c>
      <c r="C186" s="13" t="s">
        <v>703</v>
      </c>
      <c r="D186" s="14" t="str">
        <f>HYPERLINK("http://www.springer.com/gp/book/9781137277497","The Changing Geography of International Business")</f>
        <v>The Changing Geography of International Business</v>
      </c>
      <c r="E186" s="20"/>
      <c r="F186" s="15" t="s">
        <v>700</v>
      </c>
      <c r="G186" s="16" t="s">
        <v>1525</v>
      </c>
      <c r="H186" s="17">
        <v>3599</v>
      </c>
      <c r="I186" s="37">
        <v>20</v>
      </c>
      <c r="J186" s="59">
        <v>2879</v>
      </c>
      <c r="K186" s="40">
        <v>114.99</v>
      </c>
      <c r="L186" s="41" t="s">
        <v>275</v>
      </c>
      <c r="M186" s="26" t="s">
        <v>274</v>
      </c>
      <c r="N186" s="11"/>
      <c r="O186" s="15"/>
      <c r="P186" s="16"/>
    </row>
    <row r="187" spans="1:16" s="4" customFormat="1" x14ac:dyDescent="0.25">
      <c r="A187" s="62" t="s">
        <v>1693</v>
      </c>
      <c r="B187" s="12">
        <v>9780230300651</v>
      </c>
      <c r="C187" s="13" t="s">
        <v>920</v>
      </c>
      <c r="D187" s="14" t="str">
        <f>HYPERLINK("http://www.springer.com/gp/book/9780230300651","The IMF and European Economies")</f>
        <v>The IMF and European Economies</v>
      </c>
      <c r="E187" s="20" t="s">
        <v>921</v>
      </c>
      <c r="F187" s="15" t="s">
        <v>752</v>
      </c>
      <c r="G187" s="16" t="s">
        <v>1525</v>
      </c>
      <c r="H187" s="17">
        <v>2817</v>
      </c>
      <c r="I187" s="37">
        <v>20</v>
      </c>
      <c r="J187" s="59">
        <v>2254</v>
      </c>
      <c r="K187" s="40">
        <v>89.99</v>
      </c>
      <c r="L187" s="41" t="s">
        <v>275</v>
      </c>
      <c r="M187" s="26" t="s">
        <v>274</v>
      </c>
      <c r="N187" s="11"/>
      <c r="O187" s="15"/>
      <c r="P187" s="16"/>
    </row>
    <row r="188" spans="1:16" s="4" customFormat="1" x14ac:dyDescent="0.25">
      <c r="A188" s="62" t="s">
        <v>1693</v>
      </c>
      <c r="B188" s="12">
        <v>9780230608375</v>
      </c>
      <c r="C188" s="13" t="s">
        <v>757</v>
      </c>
      <c r="D188" s="14" t="str">
        <f>HYPERLINK("http://www.springer.com/gp/book/9780230608375","The Impact of 9/11 on Business and Economics: The Business of Terror")</f>
        <v>The Impact of 9/11 on Business and Economics: The Business of Terror</v>
      </c>
      <c r="E188" s="20" t="s">
        <v>758</v>
      </c>
      <c r="F188" s="15" t="s">
        <v>696</v>
      </c>
      <c r="G188" s="16" t="s">
        <v>1525</v>
      </c>
      <c r="H188" s="17">
        <v>3443</v>
      </c>
      <c r="I188" s="37">
        <v>25</v>
      </c>
      <c r="J188" s="59">
        <v>2582</v>
      </c>
      <c r="K188" s="40">
        <v>109.99</v>
      </c>
      <c r="L188" s="41" t="s">
        <v>275</v>
      </c>
      <c r="M188" s="26" t="s">
        <v>274</v>
      </c>
      <c r="N188" s="11"/>
      <c r="O188" s="15"/>
      <c r="P188" s="16"/>
    </row>
    <row r="189" spans="1:16" s="4" customFormat="1" x14ac:dyDescent="0.25">
      <c r="A189" s="62" t="s">
        <v>1693</v>
      </c>
      <c r="B189" s="29">
        <v>9780230342262</v>
      </c>
      <c r="C189" s="30" t="s">
        <v>158</v>
      </c>
      <c r="D189" s="31" t="s">
        <v>159</v>
      </c>
      <c r="E189" s="30" t="s">
        <v>1556</v>
      </c>
      <c r="F189" s="32">
        <v>2013</v>
      </c>
      <c r="G189" s="19" t="s">
        <v>4</v>
      </c>
      <c r="H189" s="33">
        <v>793</v>
      </c>
      <c r="I189" s="37">
        <v>20</v>
      </c>
      <c r="J189" s="59">
        <v>634</v>
      </c>
      <c r="K189" s="44">
        <v>18.989999999999998</v>
      </c>
      <c r="L189" s="45" t="s">
        <v>272</v>
      </c>
      <c r="M189" s="19" t="s">
        <v>274</v>
      </c>
      <c r="N189" s="29"/>
      <c r="O189" s="18">
        <v>240</v>
      </c>
      <c r="P189" s="19" t="s">
        <v>1557</v>
      </c>
    </row>
    <row r="190" spans="1:16" s="4" customFormat="1" x14ac:dyDescent="0.25">
      <c r="A190" s="62" t="s">
        <v>1693</v>
      </c>
      <c r="B190" s="12">
        <v>9780230537798</v>
      </c>
      <c r="C190" s="13" t="s">
        <v>907</v>
      </c>
      <c r="D190" s="14" t="str">
        <f>HYPERLINK("http://www.springer.com/gp/book/9780230537798","The Politics of Economic Inequality in Developing Countries")</f>
        <v>The Politics of Economic Inequality in Developing Countries</v>
      </c>
      <c r="E190" s="20"/>
      <c r="F190" s="15" t="s">
        <v>705</v>
      </c>
      <c r="G190" s="16" t="s">
        <v>1525</v>
      </c>
      <c r="H190" s="17">
        <v>3443</v>
      </c>
      <c r="I190" s="37">
        <v>25</v>
      </c>
      <c r="J190" s="59">
        <v>2582</v>
      </c>
      <c r="K190" s="40">
        <v>109.99</v>
      </c>
      <c r="L190" s="41" t="s">
        <v>275</v>
      </c>
      <c r="M190" s="26" t="s">
        <v>274</v>
      </c>
      <c r="N190" s="11"/>
      <c r="O190" s="15"/>
      <c r="P190" s="16"/>
    </row>
    <row r="191" spans="1:16" s="4" customFormat="1" x14ac:dyDescent="0.25">
      <c r="A191" s="62" t="s">
        <v>1693</v>
      </c>
      <c r="B191" s="29">
        <v>9780230369740</v>
      </c>
      <c r="C191" s="30" t="s">
        <v>167</v>
      </c>
      <c r="D191" s="31" t="s">
        <v>168</v>
      </c>
      <c r="E191" s="30" t="s">
        <v>1558</v>
      </c>
      <c r="F191" s="32">
        <v>2012</v>
      </c>
      <c r="G191" s="19" t="s">
        <v>4</v>
      </c>
      <c r="H191" s="33">
        <v>1169</v>
      </c>
      <c r="I191" s="37">
        <v>20</v>
      </c>
      <c r="J191" s="59">
        <v>935</v>
      </c>
      <c r="K191" s="44">
        <v>28.63</v>
      </c>
      <c r="L191" s="45" t="s">
        <v>272</v>
      </c>
      <c r="M191" s="19" t="s">
        <v>273</v>
      </c>
      <c r="N191" s="29"/>
      <c r="O191" s="18">
        <v>256</v>
      </c>
      <c r="P191" s="19" t="s">
        <v>1559</v>
      </c>
    </row>
    <row r="192" spans="1:16" s="4" customFormat="1" x14ac:dyDescent="0.25">
      <c r="A192" s="62" t="s">
        <v>1693</v>
      </c>
      <c r="B192" s="12">
        <v>9780230500600</v>
      </c>
      <c r="C192" s="13" t="s">
        <v>864</v>
      </c>
      <c r="D192" s="14" t="str">
        <f>HYPERLINK("http://www.springer.com/gp/book/9780230500600","The Theory and Practice of Local Governance and Economic Development")</f>
        <v>The Theory and Practice of Local Governance and Economic Development</v>
      </c>
      <c r="E192" s="20"/>
      <c r="F192" s="15" t="s">
        <v>705</v>
      </c>
      <c r="G192" s="16" t="s">
        <v>1525</v>
      </c>
      <c r="H192" s="17">
        <v>4069</v>
      </c>
      <c r="I192" s="37">
        <v>25</v>
      </c>
      <c r="J192" s="59">
        <v>3052</v>
      </c>
      <c r="K192" s="40">
        <v>129.99</v>
      </c>
      <c r="L192" s="41" t="s">
        <v>275</v>
      </c>
      <c r="M192" s="26" t="s">
        <v>274</v>
      </c>
      <c r="N192" s="11"/>
      <c r="O192" s="15"/>
      <c r="P192" s="16"/>
    </row>
    <row r="193" spans="1:16" s="4" customFormat="1" x14ac:dyDescent="0.25">
      <c r="A193" s="62" t="s">
        <v>1693</v>
      </c>
      <c r="B193" s="12">
        <v>9780230520882</v>
      </c>
      <c r="C193" s="13" t="s">
        <v>894</v>
      </c>
      <c r="D193" s="14" t="str">
        <f>HYPERLINK("http://www.springer.com/gp/book/9780230520882","The Transformation of State Socialism")</f>
        <v>The Transformation of State Socialism</v>
      </c>
      <c r="E193" s="20" t="s">
        <v>895</v>
      </c>
      <c r="F193" s="15" t="s">
        <v>729</v>
      </c>
      <c r="G193" s="16" t="s">
        <v>1525</v>
      </c>
      <c r="H193" s="17">
        <v>5164</v>
      </c>
      <c r="I193" s="38">
        <v>30</v>
      </c>
      <c r="J193" s="59">
        <v>3615</v>
      </c>
      <c r="K193" s="40">
        <v>164.99</v>
      </c>
      <c r="L193" s="41" t="s">
        <v>275</v>
      </c>
      <c r="M193" s="26" t="s">
        <v>274</v>
      </c>
      <c r="N193" s="11"/>
      <c r="O193" s="15"/>
      <c r="P193" s="16"/>
    </row>
    <row r="194" spans="1:16" s="4" customFormat="1" x14ac:dyDescent="0.25">
      <c r="A194" s="62" t="s">
        <v>1693</v>
      </c>
      <c r="B194" s="29">
        <v>9781137278463</v>
      </c>
      <c r="C194" s="30" t="s">
        <v>172</v>
      </c>
      <c r="D194" s="31" t="s">
        <v>173</v>
      </c>
      <c r="E194" s="30" t="s">
        <v>1622</v>
      </c>
      <c r="F194" s="32">
        <v>2014</v>
      </c>
      <c r="G194" s="19" t="s">
        <v>4</v>
      </c>
      <c r="H194" s="33">
        <v>793</v>
      </c>
      <c r="I194" s="37">
        <v>20</v>
      </c>
      <c r="J194" s="59">
        <v>634</v>
      </c>
      <c r="K194" s="44">
        <v>18.989999999999998</v>
      </c>
      <c r="L194" s="45" t="s">
        <v>272</v>
      </c>
      <c r="M194" s="19" t="s">
        <v>274</v>
      </c>
      <c r="N194" s="29"/>
      <c r="O194" s="18">
        <v>368</v>
      </c>
      <c r="P194" s="19" t="s">
        <v>1623</v>
      </c>
    </row>
    <row r="195" spans="1:16" s="4" customFormat="1" x14ac:dyDescent="0.25">
      <c r="A195" s="62" t="s">
        <v>1693</v>
      </c>
      <c r="B195" s="12">
        <v>9780230525511</v>
      </c>
      <c r="C195" s="13" t="s">
        <v>233</v>
      </c>
      <c r="D195" s="14" t="str">
        <f>HYPERLINK("http://www.springer.com/gp/book/9780230525511","Thought Leadership")</f>
        <v>Thought Leadership</v>
      </c>
      <c r="E195" s="20" t="s">
        <v>773</v>
      </c>
      <c r="F195" s="15" t="s">
        <v>729</v>
      </c>
      <c r="G195" s="16" t="s">
        <v>1525</v>
      </c>
      <c r="H195" s="17">
        <v>1826</v>
      </c>
      <c r="I195" s="38">
        <v>30</v>
      </c>
      <c r="J195" s="59">
        <v>1278</v>
      </c>
      <c r="K195" s="40">
        <v>56.99</v>
      </c>
      <c r="L195" s="41" t="s">
        <v>275</v>
      </c>
      <c r="M195" s="26" t="s">
        <v>274</v>
      </c>
      <c r="N195" s="11"/>
      <c r="O195" s="15"/>
      <c r="P195" s="16"/>
    </row>
    <row r="196" spans="1:16" s="4" customFormat="1" x14ac:dyDescent="0.25">
      <c r="A196" s="62" t="s">
        <v>1693</v>
      </c>
      <c r="B196" s="12">
        <v>9781137302014</v>
      </c>
      <c r="C196" s="13" t="s">
        <v>918</v>
      </c>
      <c r="D196" s="14" t="str">
        <f>HYPERLINK("http://www.springer.com/gp/book/9781137302014","Toxic Economic Theory, Fraudulent Accounting Standards, and the Bankruptcy of Economic Policy")</f>
        <v>Toxic Economic Theory, Fraudulent Accounting Standards, and the Bankruptcy of Economic Policy</v>
      </c>
      <c r="E196" s="20"/>
      <c r="F196" s="15" t="s">
        <v>700</v>
      </c>
      <c r="G196" s="16" t="s">
        <v>1525</v>
      </c>
      <c r="H196" s="17">
        <v>3130</v>
      </c>
      <c r="I196" s="37">
        <v>20</v>
      </c>
      <c r="J196" s="59">
        <v>2504</v>
      </c>
      <c r="K196" s="40">
        <v>99.99</v>
      </c>
      <c r="L196" s="41" t="s">
        <v>275</v>
      </c>
      <c r="M196" s="26" t="s">
        <v>274</v>
      </c>
      <c r="N196" s="11"/>
      <c r="O196" s="15"/>
      <c r="P196" s="16"/>
    </row>
    <row r="197" spans="1:16" s="4" customFormat="1" x14ac:dyDescent="0.25">
      <c r="A197" s="62" t="s">
        <v>1693</v>
      </c>
      <c r="B197" s="22">
        <v>9780230516885</v>
      </c>
      <c r="C197" s="23" t="s">
        <v>354</v>
      </c>
      <c r="D197" s="24" t="s">
        <v>353</v>
      </c>
      <c r="E197" s="23"/>
      <c r="F197" s="25">
        <v>2008</v>
      </c>
      <c r="G197" s="26" t="s">
        <v>1678</v>
      </c>
      <c r="H197" s="27">
        <v>1918</v>
      </c>
      <c r="I197" s="37">
        <v>25</v>
      </c>
      <c r="J197" s="59">
        <v>1439</v>
      </c>
      <c r="K197" s="42">
        <v>46.99</v>
      </c>
      <c r="L197" s="43" t="s">
        <v>272</v>
      </c>
      <c r="M197" s="26" t="s">
        <v>273</v>
      </c>
      <c r="N197" s="21"/>
      <c r="O197" s="25">
        <v>320</v>
      </c>
      <c r="P197" s="28" t="s">
        <v>355</v>
      </c>
    </row>
    <row r="198" spans="1:16" s="4" customFormat="1" x14ac:dyDescent="0.25">
      <c r="A198" s="62" t="s">
        <v>1693</v>
      </c>
      <c r="B198" s="12">
        <v>9780230250246</v>
      </c>
      <c r="C198" s="13" t="s">
        <v>908</v>
      </c>
      <c r="D198" s="14" t="str">
        <f>HYPERLINK("http://www.springer.com/gp/book/9780230250246","Unit Root Tests in Time Series Volume 1")</f>
        <v>Unit Root Tests in Time Series Volume 1</v>
      </c>
      <c r="E198" s="20" t="s">
        <v>909</v>
      </c>
      <c r="F198" s="15" t="s">
        <v>714</v>
      </c>
      <c r="G198" s="16" t="s">
        <v>1525</v>
      </c>
      <c r="H198" s="17">
        <v>5008</v>
      </c>
      <c r="I198" s="37">
        <v>25</v>
      </c>
      <c r="J198" s="59">
        <v>3756</v>
      </c>
      <c r="K198" s="40">
        <v>159.99</v>
      </c>
      <c r="L198" s="41" t="s">
        <v>275</v>
      </c>
      <c r="M198" s="26" t="s">
        <v>274</v>
      </c>
      <c r="N198" s="11"/>
      <c r="O198" s="15"/>
      <c r="P198" s="16"/>
    </row>
    <row r="199" spans="1:16" s="4" customFormat="1" x14ac:dyDescent="0.25">
      <c r="A199" s="62" t="s">
        <v>1693</v>
      </c>
      <c r="B199" s="12">
        <v>9781137427496</v>
      </c>
      <c r="C199" s="13" t="s">
        <v>130</v>
      </c>
      <c r="D199" s="14" t="str">
        <f>HYPERLINK("http://www.springer.com/gp/book/9781137427496","Western European Perspectives on the Development of Public Relations")</f>
        <v>Western European Perspectives on the Development of Public Relations</v>
      </c>
      <c r="E199" s="20" t="s">
        <v>791</v>
      </c>
      <c r="F199" s="15" t="s">
        <v>694</v>
      </c>
      <c r="G199" s="16" t="s">
        <v>1525</v>
      </c>
      <c r="H199" s="17">
        <v>1922</v>
      </c>
      <c r="I199" s="37">
        <v>20</v>
      </c>
      <c r="J199" s="59">
        <v>1538</v>
      </c>
      <c r="K199" s="40">
        <v>59.99</v>
      </c>
      <c r="L199" s="41" t="s">
        <v>275</v>
      </c>
      <c r="M199" s="26" t="s">
        <v>274</v>
      </c>
      <c r="N199" s="11"/>
      <c r="O199" s="15"/>
      <c r="P199" s="16"/>
    </row>
    <row r="200" spans="1:16" s="4" customFormat="1" x14ac:dyDescent="0.25">
      <c r="A200" s="62" t="s">
        <v>1693</v>
      </c>
      <c r="B200" s="12">
        <v>9780230343436</v>
      </c>
      <c r="C200" s="13" t="s">
        <v>739</v>
      </c>
      <c r="D200" s="14" t="str">
        <f>HYPERLINK("http://www.springer.com/gp/book/9780230343436","Winning At Innovation")</f>
        <v>Winning At Innovation</v>
      </c>
      <c r="E200" s="20" t="s">
        <v>740</v>
      </c>
      <c r="F200" s="15" t="s">
        <v>694</v>
      </c>
      <c r="G200" s="16" t="s">
        <v>1525</v>
      </c>
      <c r="H200" s="17">
        <v>961</v>
      </c>
      <c r="I200" s="37">
        <v>20</v>
      </c>
      <c r="J200" s="59">
        <v>769</v>
      </c>
      <c r="K200" s="40">
        <v>29.99</v>
      </c>
      <c r="L200" s="41" t="s">
        <v>275</v>
      </c>
      <c r="M200" s="26" t="s">
        <v>274</v>
      </c>
      <c r="N200" s="11"/>
      <c r="O200" s="15"/>
      <c r="P200" s="16"/>
    </row>
    <row r="201" spans="1:16" s="4" customFormat="1" x14ac:dyDescent="0.25">
      <c r="A201" s="62" t="s">
        <v>1693</v>
      </c>
      <c r="B201" s="12">
        <v>9780230111141</v>
      </c>
      <c r="C201" s="13" t="s">
        <v>725</v>
      </c>
      <c r="D201" s="14" t="str">
        <f>HYPERLINK("http://www.springer.com/gp/book/9780230111141","Working for a Family Business")</f>
        <v>Working for a Family Business</v>
      </c>
      <c r="E201" s="20" t="s">
        <v>726</v>
      </c>
      <c r="F201" s="15" t="s">
        <v>714</v>
      </c>
      <c r="G201" s="16" t="s">
        <v>1525</v>
      </c>
      <c r="H201" s="17">
        <v>865</v>
      </c>
      <c r="I201" s="37">
        <v>25</v>
      </c>
      <c r="J201" s="59">
        <v>649</v>
      </c>
      <c r="K201" s="40">
        <v>26.99</v>
      </c>
      <c r="L201" s="41" t="s">
        <v>275</v>
      </c>
      <c r="M201" s="19" t="s">
        <v>273</v>
      </c>
      <c r="N201" s="11"/>
      <c r="O201" s="15"/>
      <c r="P201" s="16"/>
    </row>
    <row r="202" spans="1:16" s="4" customFormat="1" x14ac:dyDescent="0.25">
      <c r="A202" s="62" t="s">
        <v>1706</v>
      </c>
      <c r="B202" s="12">
        <v>9781137283078</v>
      </c>
      <c r="C202" s="13" t="s">
        <v>796</v>
      </c>
      <c r="D202" s="14" t="str">
        <f>HYPERLINK("http://www.springer.com/gp/book/9781137283078","Animation, Embodiment, and Digital Media")</f>
        <v>Animation, Embodiment, and Digital Media</v>
      </c>
      <c r="E202" s="20" t="s">
        <v>797</v>
      </c>
      <c r="F202" s="15" t="s">
        <v>700</v>
      </c>
      <c r="G202" s="16" t="s">
        <v>1525</v>
      </c>
      <c r="H202" s="17">
        <v>2467</v>
      </c>
      <c r="I202" s="37">
        <v>20</v>
      </c>
      <c r="J202" s="59">
        <v>1974</v>
      </c>
      <c r="K202" s="40">
        <v>76.989999999999995</v>
      </c>
      <c r="L202" s="41" t="s">
        <v>275</v>
      </c>
      <c r="M202" s="26" t="s">
        <v>274</v>
      </c>
      <c r="N202" s="11"/>
      <c r="O202" s="15"/>
      <c r="P202" s="16"/>
    </row>
    <row r="203" spans="1:16" s="4" customFormat="1" x14ac:dyDescent="0.25">
      <c r="A203" s="62" t="s">
        <v>1706</v>
      </c>
      <c r="B203" s="12">
        <v>9781137312525</v>
      </c>
      <c r="C203" s="13" t="s">
        <v>800</v>
      </c>
      <c r="D203" s="14" t="str">
        <f>HYPERLINK("http://www.springer.com/gp/book/9781137312525","DiY WiFi: Re-imagining Connectivity")</f>
        <v>DiY WiFi: Re-imagining Connectivity</v>
      </c>
      <c r="E203" s="20"/>
      <c r="F203" s="15" t="s">
        <v>708</v>
      </c>
      <c r="G203" s="16" t="s">
        <v>1525</v>
      </c>
      <c r="H203" s="17">
        <v>2147</v>
      </c>
      <c r="I203" s="37">
        <v>20</v>
      </c>
      <c r="J203" s="59">
        <v>1718</v>
      </c>
      <c r="K203" s="40">
        <v>66.989999999999995</v>
      </c>
      <c r="L203" s="41" t="s">
        <v>275</v>
      </c>
      <c r="M203" s="26" t="s">
        <v>274</v>
      </c>
      <c r="N203" s="11"/>
      <c r="O203" s="15"/>
      <c r="P203" s="16"/>
    </row>
    <row r="204" spans="1:16" s="4" customFormat="1" x14ac:dyDescent="0.25">
      <c r="A204" s="62" t="s">
        <v>1706</v>
      </c>
      <c r="B204" s="12">
        <v>9780333994566</v>
      </c>
      <c r="C204" s="13" t="s">
        <v>712</v>
      </c>
      <c r="D204" s="14" t="str">
        <f>HYPERLINK("http://www.springer.com/gp/book/9780333994566","Streamlining")</f>
        <v>Streamlining</v>
      </c>
      <c r="E204" s="20" t="s">
        <v>798</v>
      </c>
      <c r="F204" s="15" t="s">
        <v>799</v>
      </c>
      <c r="G204" s="16" t="s">
        <v>1525</v>
      </c>
      <c r="H204" s="17">
        <v>2243</v>
      </c>
      <c r="I204" s="38">
        <v>30</v>
      </c>
      <c r="J204" s="59">
        <v>1570</v>
      </c>
      <c r="K204" s="40">
        <v>69.989999999999995</v>
      </c>
      <c r="L204" s="41" t="s">
        <v>275</v>
      </c>
      <c r="M204" s="26" t="s">
        <v>274</v>
      </c>
      <c r="N204" s="11"/>
      <c r="O204" s="15"/>
      <c r="P204" s="16"/>
    </row>
    <row r="205" spans="1:16" s="4" customFormat="1" x14ac:dyDescent="0.25">
      <c r="A205" s="62" t="s">
        <v>1706</v>
      </c>
      <c r="B205" s="12">
        <v>9780230244184</v>
      </c>
      <c r="C205" s="13" t="s">
        <v>794</v>
      </c>
      <c r="D205" s="14" t="str">
        <f>HYPERLINK("http://www.springer.com/gp/book/9780230244184","The Philosophy of Software")</f>
        <v>The Philosophy of Software</v>
      </c>
      <c r="E205" s="20" t="s">
        <v>795</v>
      </c>
      <c r="F205" s="15" t="s">
        <v>694</v>
      </c>
      <c r="G205" s="16" t="s">
        <v>1525</v>
      </c>
      <c r="H205" s="17">
        <v>2660</v>
      </c>
      <c r="I205" s="37">
        <v>20</v>
      </c>
      <c r="J205" s="59">
        <v>2128</v>
      </c>
      <c r="K205" s="40">
        <v>84.99</v>
      </c>
      <c r="L205" s="41" t="s">
        <v>275</v>
      </c>
      <c r="M205" s="26" t="s">
        <v>274</v>
      </c>
      <c r="N205" s="11"/>
      <c r="O205" s="15"/>
      <c r="P205" s="16"/>
    </row>
    <row r="206" spans="1:16" s="4" customFormat="1" x14ac:dyDescent="0.25">
      <c r="A206" s="63" t="s">
        <v>1699</v>
      </c>
      <c r="B206" s="12">
        <v>9781137439178</v>
      </c>
      <c r="C206" s="13" t="s">
        <v>1435</v>
      </c>
      <c r="D206" s="14" t="str">
        <f>HYPERLINK("http://www.springer.com/gp/book/9781137439178","Against Violence Against Women")</f>
        <v>Against Violence Against Women</v>
      </c>
      <c r="E206" s="20" t="s">
        <v>1436</v>
      </c>
      <c r="F206" s="15" t="s">
        <v>700</v>
      </c>
      <c r="G206" s="16" t="s">
        <v>1525</v>
      </c>
      <c r="H206" s="17">
        <v>961</v>
      </c>
      <c r="I206" s="37">
        <v>20</v>
      </c>
      <c r="J206" s="59">
        <v>769</v>
      </c>
      <c r="K206" s="40">
        <v>29.99</v>
      </c>
      <c r="L206" s="41" t="s">
        <v>275</v>
      </c>
      <c r="M206" s="19" t="s">
        <v>273</v>
      </c>
      <c r="N206" s="11"/>
      <c r="O206" s="15"/>
      <c r="P206" s="16"/>
    </row>
    <row r="207" spans="1:16" s="4" customFormat="1" x14ac:dyDescent="0.25">
      <c r="A207" s="63" t="s">
        <v>1699</v>
      </c>
      <c r="B207" s="12">
        <v>9781137025142</v>
      </c>
      <c r="C207" s="13" t="s">
        <v>1435</v>
      </c>
      <c r="D207" s="14" t="str">
        <f>HYPERLINK("http://www.springer.com/gp/book/9781137025142","Against Violence Against Women")</f>
        <v>Against Violence Against Women</v>
      </c>
      <c r="E207" s="20" t="s">
        <v>1436</v>
      </c>
      <c r="F207" s="15" t="s">
        <v>700</v>
      </c>
      <c r="G207" s="16" t="s">
        <v>1525</v>
      </c>
      <c r="H207" s="17">
        <v>2817</v>
      </c>
      <c r="I207" s="37">
        <v>20</v>
      </c>
      <c r="J207" s="59">
        <v>2254</v>
      </c>
      <c r="K207" s="40">
        <v>89.99</v>
      </c>
      <c r="L207" s="41" t="s">
        <v>275</v>
      </c>
      <c r="M207" s="26" t="s">
        <v>274</v>
      </c>
      <c r="N207" s="11"/>
      <c r="O207" s="15"/>
      <c r="P207" s="16"/>
    </row>
    <row r="208" spans="1:16" s="4" customFormat="1" x14ac:dyDescent="0.25">
      <c r="A208" s="63" t="s">
        <v>1699</v>
      </c>
      <c r="B208" s="12">
        <v>9780230615984</v>
      </c>
      <c r="C208" s="13" t="s">
        <v>1498</v>
      </c>
      <c r="D208" s="14" t="str">
        <f>HYPERLINK("http://www.springer.com/gp/book/9780230615984","Contemporary Criminology and Criminal Justice Theory")</f>
        <v>Contemporary Criminology and Criminal Justice Theory</v>
      </c>
      <c r="E208" s="20" t="s">
        <v>1499</v>
      </c>
      <c r="F208" s="15" t="s">
        <v>696</v>
      </c>
      <c r="G208" s="16" t="s">
        <v>1525</v>
      </c>
      <c r="H208" s="17">
        <v>3130</v>
      </c>
      <c r="I208" s="37">
        <v>25</v>
      </c>
      <c r="J208" s="59">
        <v>2348</v>
      </c>
      <c r="K208" s="40">
        <v>99.99</v>
      </c>
      <c r="L208" s="41" t="s">
        <v>275</v>
      </c>
      <c r="M208" s="26" t="s">
        <v>274</v>
      </c>
      <c r="N208" s="11"/>
      <c r="O208" s="15"/>
      <c r="P208" s="16"/>
    </row>
    <row r="209" spans="1:16" s="4" customFormat="1" x14ac:dyDescent="0.25">
      <c r="A209" s="63" t="s">
        <v>1699</v>
      </c>
      <c r="B209" s="12">
        <v>9780230237414</v>
      </c>
      <c r="C209" s="13" t="s">
        <v>1380</v>
      </c>
      <c r="D209" s="14" t="str">
        <f>HYPERLINK("http://www.springer.com/gp/book/9780230237414","Crime and Corruption in New Democracies")</f>
        <v>Crime and Corruption in New Democracies</v>
      </c>
      <c r="E209" s="20" t="s">
        <v>1479</v>
      </c>
      <c r="F209" s="15" t="s">
        <v>714</v>
      </c>
      <c r="G209" s="16" t="s">
        <v>1525</v>
      </c>
      <c r="H209" s="17">
        <v>2817</v>
      </c>
      <c r="I209" s="37">
        <v>25</v>
      </c>
      <c r="J209" s="59">
        <v>2113</v>
      </c>
      <c r="K209" s="40">
        <v>89.99</v>
      </c>
      <c r="L209" s="41" t="s">
        <v>275</v>
      </c>
      <c r="M209" s="26" t="s">
        <v>274</v>
      </c>
      <c r="N209" s="11"/>
      <c r="O209" s="15"/>
      <c r="P209" s="16"/>
    </row>
    <row r="210" spans="1:16" s="4" customFormat="1" x14ac:dyDescent="0.25">
      <c r="A210" s="63" t="s">
        <v>1699</v>
      </c>
      <c r="B210" s="22">
        <v>9780230302891</v>
      </c>
      <c r="C210" s="23" t="s">
        <v>215</v>
      </c>
      <c r="D210" s="24" t="s">
        <v>216</v>
      </c>
      <c r="E210" s="23"/>
      <c r="F210" s="25">
        <v>2014</v>
      </c>
      <c r="G210" s="26" t="s">
        <v>1678</v>
      </c>
      <c r="H210" s="27">
        <v>1061</v>
      </c>
      <c r="I210" s="37">
        <v>20</v>
      </c>
      <c r="J210" s="59">
        <v>849</v>
      </c>
      <c r="K210" s="42">
        <v>25.99</v>
      </c>
      <c r="L210" s="43" t="s">
        <v>272</v>
      </c>
      <c r="M210" s="26" t="s">
        <v>273</v>
      </c>
      <c r="N210" s="21"/>
      <c r="O210" s="25">
        <v>336</v>
      </c>
      <c r="P210" s="28" t="s">
        <v>601</v>
      </c>
    </row>
    <row r="211" spans="1:16" s="4" customFormat="1" x14ac:dyDescent="0.25">
      <c r="A211" s="63" t="s">
        <v>1699</v>
      </c>
      <c r="B211" s="22">
        <v>9781137299192</v>
      </c>
      <c r="C211" s="23" t="s">
        <v>499</v>
      </c>
      <c r="D211" s="24" t="s">
        <v>57</v>
      </c>
      <c r="E211" s="23"/>
      <c r="F211" s="25">
        <v>2014</v>
      </c>
      <c r="G211" s="26" t="s">
        <v>1678</v>
      </c>
      <c r="H211" s="27">
        <v>1183</v>
      </c>
      <c r="I211" s="37">
        <v>20</v>
      </c>
      <c r="J211" s="59">
        <v>946</v>
      </c>
      <c r="K211" s="42">
        <v>28.99</v>
      </c>
      <c r="L211" s="43" t="s">
        <v>272</v>
      </c>
      <c r="M211" s="26" t="s">
        <v>273</v>
      </c>
      <c r="N211" s="21"/>
      <c r="O211" s="25">
        <v>264</v>
      </c>
      <c r="P211" s="28" t="s">
        <v>500</v>
      </c>
    </row>
    <row r="212" spans="1:16" s="4" customFormat="1" x14ac:dyDescent="0.25">
      <c r="A212" s="63" t="s">
        <v>1699</v>
      </c>
      <c r="B212" s="12">
        <v>9780230553118</v>
      </c>
      <c r="C212" s="13" t="s">
        <v>1420</v>
      </c>
      <c r="D212" s="14" t="str">
        <f>HYPERLINK("http://www.springer.com/gp/book/9780230553118","Doing Security")</f>
        <v>Doing Security</v>
      </c>
      <c r="E212" s="20" t="s">
        <v>1421</v>
      </c>
      <c r="F212" s="15" t="s">
        <v>705</v>
      </c>
      <c r="G212" s="16" t="s">
        <v>1525</v>
      </c>
      <c r="H212" s="17">
        <v>3286</v>
      </c>
      <c r="I212" s="37">
        <v>25</v>
      </c>
      <c r="J212" s="59">
        <v>2465</v>
      </c>
      <c r="K212" s="40">
        <v>104.99</v>
      </c>
      <c r="L212" s="41" t="s">
        <v>275</v>
      </c>
      <c r="M212" s="26" t="s">
        <v>274</v>
      </c>
      <c r="N212" s="11"/>
      <c r="O212" s="15"/>
      <c r="P212" s="16"/>
    </row>
    <row r="213" spans="1:16" s="4" customFormat="1" x14ac:dyDescent="0.25">
      <c r="A213" s="63" t="s">
        <v>1699</v>
      </c>
      <c r="B213" s="12">
        <v>9781137371263</v>
      </c>
      <c r="C213" s="13" t="s">
        <v>1423</v>
      </c>
      <c r="D213" s="14" t="str">
        <f>HYPERLINK("http://www.springer.com/gp/book/9781137371263","Football's Dark Side: Corruption, Homophobia, Violence and Racism in the Beautiful Game")</f>
        <v>Football's Dark Side: Corruption, Homophobia, Violence and Racism in the Beautiful Game</v>
      </c>
      <c r="E213" s="20"/>
      <c r="F213" s="15" t="s">
        <v>708</v>
      </c>
      <c r="G213" s="16" t="s">
        <v>1525</v>
      </c>
      <c r="H213" s="17">
        <v>2083</v>
      </c>
      <c r="I213" s="37">
        <v>20</v>
      </c>
      <c r="J213" s="59">
        <v>1666</v>
      </c>
      <c r="K213" s="40">
        <v>64.989999999999995</v>
      </c>
      <c r="L213" s="41" t="s">
        <v>275</v>
      </c>
      <c r="M213" s="26" t="s">
        <v>274</v>
      </c>
      <c r="N213" s="11"/>
      <c r="O213" s="15"/>
      <c r="P213" s="16"/>
    </row>
    <row r="214" spans="1:16" s="4" customFormat="1" x14ac:dyDescent="0.25">
      <c r="A214" s="63" t="s">
        <v>1699</v>
      </c>
      <c r="B214" s="12">
        <v>9780230205970</v>
      </c>
      <c r="C214" s="13" t="s">
        <v>1417</v>
      </c>
      <c r="D214" s="14" t="str">
        <f>HYPERLINK("http://www.springer.com/gp/book/9780230205970","Global Justice and the Politics of Recognition")</f>
        <v>Global Justice and the Politics of Recognition</v>
      </c>
      <c r="E214" s="20"/>
      <c r="F214" s="15" t="s">
        <v>700</v>
      </c>
      <c r="G214" s="16" t="s">
        <v>1525</v>
      </c>
      <c r="H214" s="17">
        <v>3130</v>
      </c>
      <c r="I214" s="37">
        <v>20</v>
      </c>
      <c r="J214" s="59">
        <v>2504</v>
      </c>
      <c r="K214" s="40">
        <v>99.99</v>
      </c>
      <c r="L214" s="41" t="s">
        <v>275</v>
      </c>
      <c r="M214" s="26" t="s">
        <v>274</v>
      </c>
      <c r="N214" s="11"/>
      <c r="O214" s="15"/>
      <c r="P214" s="16"/>
    </row>
    <row r="215" spans="1:16" s="4" customFormat="1" x14ac:dyDescent="0.25">
      <c r="A215" s="63" t="s">
        <v>1699</v>
      </c>
      <c r="B215" s="12">
        <v>9781137455109</v>
      </c>
      <c r="C215" s="13" t="s">
        <v>1430</v>
      </c>
      <c r="D215" s="14" t="str">
        <f>HYPERLINK("http://www.springer.com/gp/book/9781137455109","Prisons, Punishment and the Pursuit of Security")</f>
        <v>Prisons, Punishment and the Pursuit of Security</v>
      </c>
      <c r="E215" s="20"/>
      <c r="F215" s="15" t="s">
        <v>708</v>
      </c>
      <c r="G215" s="16" t="s">
        <v>1525</v>
      </c>
      <c r="H215" s="17">
        <v>1121</v>
      </c>
      <c r="I215" s="37">
        <v>20</v>
      </c>
      <c r="J215" s="59">
        <v>897</v>
      </c>
      <c r="K215" s="40">
        <v>34.99</v>
      </c>
      <c r="L215" s="41" t="s">
        <v>275</v>
      </c>
      <c r="M215" s="19" t="s">
        <v>273</v>
      </c>
      <c r="N215" s="11"/>
      <c r="O215" s="15"/>
      <c r="P215" s="16"/>
    </row>
    <row r="216" spans="1:16" s="4" customFormat="1" x14ac:dyDescent="0.25">
      <c r="A216" s="63" t="s">
        <v>1699</v>
      </c>
      <c r="B216" s="12">
        <v>9781137323279</v>
      </c>
      <c r="C216" s="13" t="s">
        <v>1446</v>
      </c>
      <c r="D216" s="14" t="str">
        <f>HYPERLINK("http://www.springer.com/gp/book/9781137323279","The Handbook of Security")</f>
        <v>The Handbook of Security</v>
      </c>
      <c r="E216" s="20"/>
      <c r="F216" s="15" t="s">
        <v>708</v>
      </c>
      <c r="G216" s="16" t="s">
        <v>1525</v>
      </c>
      <c r="H216" s="17">
        <v>7168</v>
      </c>
      <c r="I216" s="37">
        <v>20</v>
      </c>
      <c r="J216" s="59">
        <v>5734</v>
      </c>
      <c r="K216" s="40">
        <v>229</v>
      </c>
      <c r="L216" s="41" t="s">
        <v>275</v>
      </c>
      <c r="M216" s="26" t="s">
        <v>274</v>
      </c>
      <c r="N216" s="21" t="s">
        <v>1679</v>
      </c>
      <c r="O216" s="15"/>
      <c r="P216" s="16"/>
    </row>
    <row r="217" spans="1:16" s="4" customFormat="1" x14ac:dyDescent="0.25">
      <c r="A217" s="63" t="s">
        <v>1699</v>
      </c>
      <c r="B217" s="12">
        <v>9781137282958</v>
      </c>
      <c r="C217" s="13" t="s">
        <v>1405</v>
      </c>
      <c r="D217" s="14" t="str">
        <f>HYPERLINK("http://www.springer.com/gp/book/9781137282958","The Unlawful Society")</f>
        <v>The Unlawful Society</v>
      </c>
      <c r="E217" s="20" t="s">
        <v>1406</v>
      </c>
      <c r="F217" s="15" t="s">
        <v>708</v>
      </c>
      <c r="G217" s="16" t="s">
        <v>1525</v>
      </c>
      <c r="H217" s="17">
        <v>2817</v>
      </c>
      <c r="I217" s="37">
        <v>20</v>
      </c>
      <c r="J217" s="59">
        <v>2254</v>
      </c>
      <c r="K217" s="40">
        <v>89.99</v>
      </c>
      <c r="L217" s="41" t="s">
        <v>275</v>
      </c>
      <c r="M217" s="26" t="s">
        <v>274</v>
      </c>
      <c r="N217" s="11"/>
      <c r="O217" s="15"/>
      <c r="P217" s="16"/>
    </row>
    <row r="218" spans="1:16" s="4" customFormat="1" x14ac:dyDescent="0.25">
      <c r="A218" s="63" t="s">
        <v>1699</v>
      </c>
      <c r="B218" s="12">
        <v>9781137306203</v>
      </c>
      <c r="C218" s="13" t="s">
        <v>1</v>
      </c>
      <c r="D218" s="14" t="str">
        <f>HYPERLINK("http://www.springer.com/gp/book/9781137306203","What Works in Therapeutic Prisons")</f>
        <v>What Works in Therapeutic Prisons</v>
      </c>
      <c r="E218" s="20" t="s">
        <v>1416</v>
      </c>
      <c r="F218" s="15" t="s">
        <v>708</v>
      </c>
      <c r="G218" s="16" t="s">
        <v>1525</v>
      </c>
      <c r="H218" s="17">
        <v>1282</v>
      </c>
      <c r="I218" s="37">
        <v>20</v>
      </c>
      <c r="J218" s="59">
        <v>1026</v>
      </c>
      <c r="K218" s="40">
        <v>39.99</v>
      </c>
      <c r="L218" s="41" t="s">
        <v>275</v>
      </c>
      <c r="M218" s="19" t="s">
        <v>273</v>
      </c>
      <c r="N218" s="11"/>
      <c r="O218" s="15"/>
      <c r="P218" s="16"/>
    </row>
    <row r="219" spans="1:16" s="4" customFormat="1" x14ac:dyDescent="0.25">
      <c r="A219" s="62" t="s">
        <v>1716</v>
      </c>
      <c r="B219" s="12">
        <v>9781137017574</v>
      </c>
      <c r="C219" s="13" t="s">
        <v>830</v>
      </c>
      <c r="D219" s="14" t="str">
        <f>HYPERLINK("http://www.springer.com/gp/book/9781137017574","Communicating Popular Science")</f>
        <v>Communicating Popular Science</v>
      </c>
      <c r="E219" s="20" t="s">
        <v>831</v>
      </c>
      <c r="F219" s="15" t="s">
        <v>700</v>
      </c>
      <c r="G219" s="16" t="s">
        <v>1525</v>
      </c>
      <c r="H219" s="17">
        <v>2467</v>
      </c>
      <c r="I219" s="37">
        <v>20</v>
      </c>
      <c r="J219" s="59">
        <v>1974</v>
      </c>
      <c r="K219" s="40">
        <v>76.989999999999995</v>
      </c>
      <c r="L219" s="41" t="s">
        <v>275</v>
      </c>
      <c r="M219" s="26" t="s">
        <v>274</v>
      </c>
      <c r="N219" s="11"/>
      <c r="O219" s="15"/>
      <c r="P219" s="16"/>
    </row>
    <row r="220" spans="1:16" s="4" customFormat="1" x14ac:dyDescent="0.25">
      <c r="A220" s="62" t="s">
        <v>1716</v>
      </c>
      <c r="B220" s="12">
        <v>9781137271501</v>
      </c>
      <c r="C220" s="13" t="s">
        <v>812</v>
      </c>
      <c r="D220" s="14" t="str">
        <f>HYPERLINK("http://www.springer.com/gp/book/9781137271501","How Gangs Work")</f>
        <v>How Gangs Work</v>
      </c>
      <c r="E220" s="20" t="s">
        <v>813</v>
      </c>
      <c r="F220" s="15" t="s">
        <v>700</v>
      </c>
      <c r="G220" s="16" t="s">
        <v>1525</v>
      </c>
      <c r="H220" s="17">
        <v>2723</v>
      </c>
      <c r="I220" s="37">
        <v>20</v>
      </c>
      <c r="J220" s="59">
        <v>2178</v>
      </c>
      <c r="K220" s="40">
        <v>86.99</v>
      </c>
      <c r="L220" s="41" t="s">
        <v>275</v>
      </c>
      <c r="M220" s="26" t="s">
        <v>274</v>
      </c>
      <c r="N220" s="11"/>
      <c r="O220" s="15"/>
      <c r="P220" s="16"/>
    </row>
    <row r="221" spans="1:16" s="4" customFormat="1" x14ac:dyDescent="0.25">
      <c r="A221" s="62" t="s">
        <v>1716</v>
      </c>
      <c r="B221" s="12">
        <v>9780230232037</v>
      </c>
      <c r="C221" s="13" t="s">
        <v>816</v>
      </c>
      <c r="D221" s="14" t="str">
        <f>HYPERLINK("http://www.springer.com/gp/book/9780230232037","Municipal Policing in the European Union")</f>
        <v>Municipal Policing in the European Union</v>
      </c>
      <c r="E221" s="20" t="s">
        <v>817</v>
      </c>
      <c r="F221" s="15" t="s">
        <v>700</v>
      </c>
      <c r="G221" s="16" t="s">
        <v>1525</v>
      </c>
      <c r="H221" s="17">
        <v>2723</v>
      </c>
      <c r="I221" s="37">
        <v>20</v>
      </c>
      <c r="J221" s="59">
        <v>2178</v>
      </c>
      <c r="K221" s="40">
        <v>86.99</v>
      </c>
      <c r="L221" s="41" t="s">
        <v>275</v>
      </c>
      <c r="M221" s="26" t="s">
        <v>274</v>
      </c>
      <c r="N221" s="11"/>
      <c r="O221" s="15"/>
      <c r="P221" s="16"/>
    </row>
    <row r="222" spans="1:16" s="4" customFormat="1" x14ac:dyDescent="0.25">
      <c r="A222" s="62" t="s">
        <v>1716</v>
      </c>
      <c r="B222" s="12">
        <v>9781403963062</v>
      </c>
      <c r="C222" s="13" t="s">
        <v>827</v>
      </c>
      <c r="D222" s="14" t="str">
        <f>HYPERLINK("http://www.springer.com/gp/book/9781403963062","Participatory Democracy Versus Elitist Democracy")</f>
        <v>Participatory Democracy Versus Elitist Democracy</v>
      </c>
      <c r="E222" s="20" t="s">
        <v>828</v>
      </c>
      <c r="F222" s="15" t="s">
        <v>829</v>
      </c>
      <c r="G222" s="16" t="s">
        <v>1525</v>
      </c>
      <c r="H222" s="17">
        <v>3130</v>
      </c>
      <c r="I222" s="38">
        <v>30</v>
      </c>
      <c r="J222" s="59">
        <v>2191</v>
      </c>
      <c r="K222" s="40">
        <v>99.99</v>
      </c>
      <c r="L222" s="41" t="s">
        <v>275</v>
      </c>
      <c r="M222" s="26" t="s">
        <v>274</v>
      </c>
      <c r="N222" s="11"/>
      <c r="O222" s="15"/>
      <c r="P222" s="16"/>
    </row>
    <row r="223" spans="1:16" s="4" customFormat="1" x14ac:dyDescent="0.25">
      <c r="A223" s="62" t="s">
        <v>1716</v>
      </c>
      <c r="B223" s="12">
        <v>9780230554214</v>
      </c>
      <c r="C223" s="13" t="s">
        <v>822</v>
      </c>
      <c r="D223" s="14" t="str">
        <f>HYPERLINK("http://www.springer.com/gp/book/9780230554214","The Making of Modern Afghanistan")</f>
        <v>The Making of Modern Afghanistan</v>
      </c>
      <c r="E223" s="20"/>
      <c r="F223" s="15" t="s">
        <v>705</v>
      </c>
      <c r="G223" s="16" t="s">
        <v>1525</v>
      </c>
      <c r="H223" s="17">
        <v>3286</v>
      </c>
      <c r="I223" s="37">
        <v>25</v>
      </c>
      <c r="J223" s="59">
        <v>2465</v>
      </c>
      <c r="K223" s="40">
        <v>104.99</v>
      </c>
      <c r="L223" s="41" t="s">
        <v>275</v>
      </c>
      <c r="M223" s="26" t="s">
        <v>274</v>
      </c>
      <c r="N223" s="11"/>
      <c r="O223" s="15"/>
      <c r="P223" s="16"/>
    </row>
    <row r="224" spans="1:16" s="4" customFormat="1" x14ac:dyDescent="0.25">
      <c r="A224" s="62" t="s">
        <v>1716</v>
      </c>
      <c r="B224" s="12">
        <v>9780230002555</v>
      </c>
      <c r="C224" s="13" t="s">
        <v>180</v>
      </c>
      <c r="D224" s="14" t="str">
        <f>HYPERLINK("http://www.springer.com/gp/book/9780230002555","Understanding Muslim Identity")</f>
        <v>Understanding Muslim Identity</v>
      </c>
      <c r="E224" s="20" t="s">
        <v>825</v>
      </c>
      <c r="F224" s="15" t="s">
        <v>696</v>
      </c>
      <c r="G224" s="16" t="s">
        <v>1525</v>
      </c>
      <c r="H224" s="17">
        <v>2973</v>
      </c>
      <c r="I224" s="37">
        <v>25</v>
      </c>
      <c r="J224" s="59">
        <v>2230</v>
      </c>
      <c r="K224" s="40">
        <v>94.99</v>
      </c>
      <c r="L224" s="41" t="s">
        <v>275</v>
      </c>
      <c r="M224" s="26" t="s">
        <v>274</v>
      </c>
      <c r="N224" s="11"/>
      <c r="O224" s="15"/>
      <c r="P224" s="16"/>
    </row>
    <row r="225" spans="1:16" s="4" customFormat="1" x14ac:dyDescent="0.25">
      <c r="A225" s="62" t="s">
        <v>1716</v>
      </c>
      <c r="B225" s="12">
        <v>9780312294014</v>
      </c>
      <c r="C225" s="13" t="s">
        <v>806</v>
      </c>
      <c r="D225" s="14" t="str">
        <f>HYPERLINK("http://www.springer.com/gp/book/9780312294014","When Islam and Democracy Meet")</f>
        <v>When Islam and Democracy Meet</v>
      </c>
      <c r="E225" s="20" t="s">
        <v>807</v>
      </c>
      <c r="F225" s="15" t="s">
        <v>808</v>
      </c>
      <c r="G225" s="16" t="s">
        <v>1525</v>
      </c>
      <c r="H225" s="17">
        <v>2817</v>
      </c>
      <c r="I225" s="38">
        <v>30</v>
      </c>
      <c r="J225" s="59">
        <v>1972</v>
      </c>
      <c r="K225" s="40">
        <v>89.99</v>
      </c>
      <c r="L225" s="41" t="s">
        <v>275</v>
      </c>
      <c r="M225" s="26" t="s">
        <v>274</v>
      </c>
      <c r="N225" s="11"/>
      <c r="O225" s="15"/>
      <c r="P225" s="16"/>
    </row>
    <row r="226" spans="1:16" s="4" customFormat="1" x14ac:dyDescent="0.25">
      <c r="A226" s="62" t="s">
        <v>1710</v>
      </c>
      <c r="B226" s="12">
        <v>9781403995957</v>
      </c>
      <c r="C226" s="13" t="s">
        <v>1072</v>
      </c>
      <c r="D226" s="14" t="str">
        <f>HYPERLINK("http://www.springer.com/gp/book/9781403995957","Language, Discourse and Social Psychology")</f>
        <v>Language, Discourse and Social Psychology</v>
      </c>
      <c r="E226" s="20"/>
      <c r="F226" s="15" t="s">
        <v>729</v>
      </c>
      <c r="G226" s="16" t="s">
        <v>1525</v>
      </c>
      <c r="H226" s="17">
        <v>1282</v>
      </c>
      <c r="I226" s="38">
        <v>30</v>
      </c>
      <c r="J226" s="59">
        <v>897</v>
      </c>
      <c r="K226" s="40">
        <v>39.99</v>
      </c>
      <c r="L226" s="41" t="s">
        <v>275</v>
      </c>
      <c r="M226" s="19" t="s">
        <v>273</v>
      </c>
      <c r="N226" s="11"/>
      <c r="O226" s="15"/>
      <c r="P226" s="16"/>
    </row>
    <row r="227" spans="1:16" s="4" customFormat="1" x14ac:dyDescent="0.25">
      <c r="A227" s="62" t="s">
        <v>1710</v>
      </c>
      <c r="B227" s="12">
        <v>9780230579118</v>
      </c>
      <c r="C227" s="13" t="s">
        <v>1059</v>
      </c>
      <c r="D227" s="14" t="str">
        <f>HYPERLINK("http://www.springer.com/gp/book/9780230579118","The Discourse of Commercialization")</f>
        <v>The Discourse of Commercialization</v>
      </c>
      <c r="E227" s="20" t="s">
        <v>1060</v>
      </c>
      <c r="F227" s="15" t="s">
        <v>688</v>
      </c>
      <c r="G227" s="16" t="s">
        <v>1525</v>
      </c>
      <c r="H227" s="17">
        <v>3130</v>
      </c>
      <c r="I227" s="37">
        <v>25</v>
      </c>
      <c r="J227" s="59">
        <v>2348</v>
      </c>
      <c r="K227" s="40">
        <v>99.99</v>
      </c>
      <c r="L227" s="41" t="s">
        <v>275</v>
      </c>
      <c r="M227" s="26" t="s">
        <v>274</v>
      </c>
      <c r="N227" s="11"/>
      <c r="O227" s="15"/>
      <c r="P227" s="16"/>
    </row>
    <row r="228" spans="1:16" s="4" customFormat="1" x14ac:dyDescent="0.25">
      <c r="A228" s="62" t="s">
        <v>1710</v>
      </c>
      <c r="B228" s="12">
        <v>9781403987228</v>
      </c>
      <c r="C228" s="13" t="s">
        <v>1061</v>
      </c>
      <c r="D228" s="14" t="str">
        <f>HYPERLINK("http://www.springer.com/gp/book/9781403987228","Women Speaking Up")</f>
        <v>Women Speaking Up</v>
      </c>
      <c r="E228" s="20" t="s">
        <v>1062</v>
      </c>
      <c r="F228" s="15" t="s">
        <v>705</v>
      </c>
      <c r="G228" s="16" t="s">
        <v>1525</v>
      </c>
      <c r="H228" s="17">
        <v>3130</v>
      </c>
      <c r="I228" s="37">
        <v>25</v>
      </c>
      <c r="J228" s="59">
        <v>2348</v>
      </c>
      <c r="K228" s="40">
        <v>99.99</v>
      </c>
      <c r="L228" s="41" t="s">
        <v>275</v>
      </c>
      <c r="M228" s="26" t="s">
        <v>274</v>
      </c>
      <c r="N228" s="11"/>
      <c r="O228" s="15"/>
      <c r="P228" s="16"/>
    </row>
    <row r="229" spans="1:16" s="4" customFormat="1" x14ac:dyDescent="0.25">
      <c r="A229" s="63" t="s">
        <v>1704</v>
      </c>
      <c r="B229" s="22">
        <v>9780878936076</v>
      </c>
      <c r="C229" s="23" t="s">
        <v>206</v>
      </c>
      <c r="D229" s="24" t="s">
        <v>207</v>
      </c>
      <c r="E229" s="23"/>
      <c r="F229" s="25">
        <v>2012</v>
      </c>
      <c r="G229" s="26" t="s">
        <v>1678</v>
      </c>
      <c r="H229" s="27">
        <v>2000</v>
      </c>
      <c r="I229" s="37">
        <v>20</v>
      </c>
      <c r="J229" s="59">
        <v>1600</v>
      </c>
      <c r="K229" s="42">
        <v>48.99</v>
      </c>
      <c r="L229" s="43" t="s">
        <v>272</v>
      </c>
      <c r="M229" s="26" t="s">
        <v>274</v>
      </c>
      <c r="N229" s="21"/>
      <c r="O229" s="25">
        <v>630</v>
      </c>
      <c r="P229" s="28" t="s">
        <v>613</v>
      </c>
    </row>
    <row r="230" spans="1:16" s="4" customFormat="1" x14ac:dyDescent="0.25">
      <c r="A230" s="63" t="s">
        <v>1704</v>
      </c>
      <c r="B230" s="34">
        <v>9780716720775</v>
      </c>
      <c r="C230" s="23" t="s">
        <v>320</v>
      </c>
      <c r="D230" s="24" t="s">
        <v>28</v>
      </c>
      <c r="E230" s="23"/>
      <c r="F230" s="25">
        <v>1990</v>
      </c>
      <c r="G230" s="19" t="s">
        <v>194</v>
      </c>
      <c r="H230" s="33">
        <v>1345</v>
      </c>
      <c r="I230" s="38">
        <v>30</v>
      </c>
      <c r="J230" s="59">
        <v>942</v>
      </c>
      <c r="K230" s="44">
        <v>32.950000000000003</v>
      </c>
      <c r="L230" s="45" t="s">
        <v>272</v>
      </c>
      <c r="M230" s="19" t="s">
        <v>274</v>
      </c>
      <c r="N230" s="21" t="s">
        <v>1680</v>
      </c>
      <c r="O230" s="18">
        <v>896</v>
      </c>
      <c r="P230" s="19" t="s">
        <v>1585</v>
      </c>
    </row>
    <row r="231" spans="1:16" s="4" customFormat="1" x14ac:dyDescent="0.25">
      <c r="A231" s="63" t="s">
        <v>1704</v>
      </c>
      <c r="B231" s="34">
        <v>9780716777625</v>
      </c>
      <c r="C231" s="23" t="s">
        <v>296</v>
      </c>
      <c r="D231" s="24" t="s">
        <v>297</v>
      </c>
      <c r="E231" s="23"/>
      <c r="F231" s="25">
        <v>2007</v>
      </c>
      <c r="G231" s="19" t="s">
        <v>194</v>
      </c>
      <c r="H231" s="27">
        <v>1633</v>
      </c>
      <c r="I231" s="38">
        <v>30</v>
      </c>
      <c r="J231" s="59">
        <v>1143</v>
      </c>
      <c r="K231" s="42">
        <v>39.99</v>
      </c>
      <c r="L231" s="45" t="s">
        <v>272</v>
      </c>
      <c r="M231" s="19" t="s">
        <v>273</v>
      </c>
      <c r="N231" s="21" t="s">
        <v>1682</v>
      </c>
      <c r="O231" s="35">
        <v>700</v>
      </c>
      <c r="P231" s="19" t="s">
        <v>1596</v>
      </c>
    </row>
    <row r="232" spans="1:16" s="4" customFormat="1" x14ac:dyDescent="0.25">
      <c r="A232" s="63" t="s">
        <v>1704</v>
      </c>
      <c r="B232" s="22">
        <v>9781605352893</v>
      </c>
      <c r="C232" s="23" t="s">
        <v>195</v>
      </c>
      <c r="D232" s="24" t="s">
        <v>196</v>
      </c>
      <c r="E232" s="23"/>
      <c r="F232" s="25">
        <v>2014</v>
      </c>
      <c r="G232" s="26" t="s">
        <v>1678</v>
      </c>
      <c r="H232" s="27">
        <v>2286</v>
      </c>
      <c r="I232" s="37">
        <v>20</v>
      </c>
      <c r="J232" s="59">
        <v>1829</v>
      </c>
      <c r="K232" s="42">
        <v>55.99</v>
      </c>
      <c r="L232" s="43" t="s">
        <v>272</v>
      </c>
      <c r="M232" s="26" t="s">
        <v>274</v>
      </c>
      <c r="N232" s="21" t="s">
        <v>1683</v>
      </c>
      <c r="O232" s="25">
        <v>601</v>
      </c>
      <c r="P232" s="28" t="s">
        <v>402</v>
      </c>
    </row>
    <row r="233" spans="1:16" s="4" customFormat="1" x14ac:dyDescent="0.25">
      <c r="A233" s="63" t="s">
        <v>1704</v>
      </c>
      <c r="B233" s="34">
        <v>9781572591097</v>
      </c>
      <c r="C233" s="23" t="s">
        <v>321</v>
      </c>
      <c r="D233" s="24" t="s">
        <v>322</v>
      </c>
      <c r="E233" s="23"/>
      <c r="F233" s="25">
        <v>1997</v>
      </c>
      <c r="G233" s="26" t="s">
        <v>29</v>
      </c>
      <c r="H233" s="33">
        <v>792</v>
      </c>
      <c r="I233" s="38">
        <v>30</v>
      </c>
      <c r="J233" s="59">
        <v>554</v>
      </c>
      <c r="K233" s="44">
        <v>18.95</v>
      </c>
      <c r="L233" s="45" t="s">
        <v>272</v>
      </c>
      <c r="M233" s="19" t="s">
        <v>273</v>
      </c>
      <c r="N233" s="29"/>
      <c r="O233" s="18">
        <v>416</v>
      </c>
      <c r="P233" s="19" t="s">
        <v>1677</v>
      </c>
    </row>
    <row r="234" spans="1:16" s="4" customFormat="1" x14ac:dyDescent="0.25">
      <c r="A234" s="63" t="s">
        <v>1704</v>
      </c>
      <c r="B234" s="12">
        <v>9780230618527</v>
      </c>
      <c r="C234" s="13" t="s">
        <v>847</v>
      </c>
      <c r="D234" s="14" t="str">
        <f>HYPERLINK("http://www.springer.com/gp/book/9780230618527","Globalization in the 21st Century")</f>
        <v>Globalization in the 21st Century</v>
      </c>
      <c r="E234" s="20" t="s">
        <v>848</v>
      </c>
      <c r="F234" s="15" t="s">
        <v>688</v>
      </c>
      <c r="G234" s="16" t="s">
        <v>1525</v>
      </c>
      <c r="H234" s="17">
        <v>2817</v>
      </c>
      <c r="I234" s="37">
        <v>25</v>
      </c>
      <c r="J234" s="59">
        <v>2113</v>
      </c>
      <c r="K234" s="40">
        <v>89.99</v>
      </c>
      <c r="L234" s="41" t="s">
        <v>275</v>
      </c>
      <c r="M234" s="26" t="s">
        <v>274</v>
      </c>
      <c r="N234" s="11"/>
      <c r="O234" s="15"/>
      <c r="P234" s="16"/>
    </row>
    <row r="235" spans="1:16" s="4" customFormat="1" x14ac:dyDescent="0.25">
      <c r="A235" s="63" t="s">
        <v>1704</v>
      </c>
      <c r="B235" s="22">
        <v>9780716706137</v>
      </c>
      <c r="C235" s="23" t="s">
        <v>661</v>
      </c>
      <c r="D235" s="24" t="s">
        <v>294</v>
      </c>
      <c r="E235" s="23"/>
      <c r="F235" s="25">
        <v>2006</v>
      </c>
      <c r="G235" s="26" t="s">
        <v>1678</v>
      </c>
      <c r="H235" s="27">
        <v>2204</v>
      </c>
      <c r="I235" s="38">
        <v>30</v>
      </c>
      <c r="J235" s="59">
        <v>1543</v>
      </c>
      <c r="K235" s="42">
        <v>53.99</v>
      </c>
      <c r="L235" s="43" t="s">
        <v>272</v>
      </c>
      <c r="M235" s="26" t="s">
        <v>274</v>
      </c>
      <c r="N235" s="21" t="s">
        <v>1680</v>
      </c>
      <c r="O235" s="25">
        <v>480</v>
      </c>
      <c r="P235" s="28" t="s">
        <v>662</v>
      </c>
    </row>
    <row r="236" spans="1:16" s="4" customFormat="1" x14ac:dyDescent="0.25">
      <c r="A236" s="63" t="s">
        <v>1704</v>
      </c>
      <c r="B236" s="12">
        <v>9781403941220</v>
      </c>
      <c r="C236" s="13" t="s">
        <v>849</v>
      </c>
      <c r="D236" s="14" t="str">
        <f>HYPERLINK("http://www.springer.com/gp/book/9781403941220","Re-visioning Europe")</f>
        <v>Re-visioning Europe</v>
      </c>
      <c r="E236" s="20" t="s">
        <v>850</v>
      </c>
      <c r="F236" s="15" t="s">
        <v>688</v>
      </c>
      <c r="G236" s="16" t="s">
        <v>1525</v>
      </c>
      <c r="H236" s="17">
        <v>2973</v>
      </c>
      <c r="I236" s="37">
        <v>25</v>
      </c>
      <c r="J236" s="59">
        <v>2230</v>
      </c>
      <c r="K236" s="40">
        <v>94.99</v>
      </c>
      <c r="L236" s="41" t="s">
        <v>275</v>
      </c>
      <c r="M236" s="26" t="s">
        <v>274</v>
      </c>
      <c r="N236" s="11"/>
      <c r="O236" s="15"/>
      <c r="P236" s="16"/>
    </row>
    <row r="237" spans="1:16" s="4" customFormat="1" x14ac:dyDescent="0.25">
      <c r="A237" s="63" t="s">
        <v>1704</v>
      </c>
      <c r="B237" s="22">
        <v>9781429231558</v>
      </c>
      <c r="C237" s="23" t="s">
        <v>619</v>
      </c>
      <c r="D237" s="24" t="s">
        <v>210</v>
      </c>
      <c r="E237" s="23"/>
      <c r="F237" s="25">
        <v>2014</v>
      </c>
      <c r="G237" s="26" t="s">
        <v>1678</v>
      </c>
      <c r="H237" s="27">
        <v>2041</v>
      </c>
      <c r="I237" s="37">
        <v>20</v>
      </c>
      <c r="J237" s="59">
        <v>1633</v>
      </c>
      <c r="K237" s="42">
        <v>49.99</v>
      </c>
      <c r="L237" s="43" t="s">
        <v>272</v>
      </c>
      <c r="M237" s="26" t="s">
        <v>274</v>
      </c>
      <c r="N237" s="21" t="s">
        <v>1680</v>
      </c>
      <c r="O237" s="25">
        <v>500</v>
      </c>
      <c r="P237" s="28" t="s">
        <v>620</v>
      </c>
    </row>
    <row r="238" spans="1:16" s="4" customFormat="1" x14ac:dyDescent="0.25">
      <c r="A238" s="62" t="s">
        <v>1652</v>
      </c>
      <c r="B238" s="12">
        <v>9780230602762</v>
      </c>
      <c r="C238" s="13" t="s">
        <v>39</v>
      </c>
      <c r="D238" s="14" t="str">
        <f>HYPERLINK("http://www.springer.com/gp/book/9780230602762","Alternative Education for the 21st Century")</f>
        <v>Alternative Education for the 21st Century</v>
      </c>
      <c r="E238" s="20" t="s">
        <v>984</v>
      </c>
      <c r="F238" s="15" t="s">
        <v>696</v>
      </c>
      <c r="G238" s="16" t="s">
        <v>1525</v>
      </c>
      <c r="H238" s="17">
        <v>3130</v>
      </c>
      <c r="I238" s="37">
        <v>25</v>
      </c>
      <c r="J238" s="59">
        <v>2348</v>
      </c>
      <c r="K238" s="40">
        <v>99.99</v>
      </c>
      <c r="L238" s="41" t="s">
        <v>275</v>
      </c>
      <c r="M238" s="26" t="s">
        <v>274</v>
      </c>
      <c r="N238" s="11"/>
      <c r="O238" s="15"/>
      <c r="P238" s="16"/>
    </row>
    <row r="239" spans="1:16" s="4" customFormat="1" x14ac:dyDescent="0.25">
      <c r="A239" s="63" t="s">
        <v>1652</v>
      </c>
      <c r="B239" s="22">
        <v>9780230227910</v>
      </c>
      <c r="C239" s="23" t="s">
        <v>408</v>
      </c>
      <c r="D239" s="24" t="s">
        <v>43</v>
      </c>
      <c r="E239" s="23"/>
      <c r="F239" s="25">
        <v>2010</v>
      </c>
      <c r="G239" s="26" t="s">
        <v>1678</v>
      </c>
      <c r="H239" s="27">
        <v>1143</v>
      </c>
      <c r="I239" s="37">
        <v>25</v>
      </c>
      <c r="J239" s="59">
        <v>857</v>
      </c>
      <c r="K239" s="42">
        <v>27.99</v>
      </c>
      <c r="L239" s="43" t="s">
        <v>272</v>
      </c>
      <c r="M239" s="26" t="s">
        <v>273</v>
      </c>
      <c r="N239" s="21"/>
      <c r="O239" s="25">
        <v>224</v>
      </c>
      <c r="P239" s="28" t="s">
        <v>409</v>
      </c>
    </row>
    <row r="240" spans="1:16" s="4" customFormat="1" x14ac:dyDescent="0.25">
      <c r="A240" s="62" t="s">
        <v>1652</v>
      </c>
      <c r="B240" s="12">
        <v>9780230272439</v>
      </c>
      <c r="C240" s="13" t="s">
        <v>938</v>
      </c>
      <c r="D240" s="14" t="str">
        <f>HYPERLINK("http://www.springer.com/gp/book/9780230272439","Beyond the Language Classroom")</f>
        <v>Beyond the Language Classroom</v>
      </c>
      <c r="E240" s="20"/>
      <c r="F240" s="15" t="s">
        <v>714</v>
      </c>
      <c r="G240" s="16" t="s">
        <v>1525</v>
      </c>
      <c r="H240" s="17">
        <v>2563</v>
      </c>
      <c r="I240" s="37">
        <v>25</v>
      </c>
      <c r="J240" s="59">
        <v>1922</v>
      </c>
      <c r="K240" s="40">
        <v>79.989999999999995</v>
      </c>
      <c r="L240" s="41" t="s">
        <v>275</v>
      </c>
      <c r="M240" s="26" t="s">
        <v>274</v>
      </c>
      <c r="N240" s="11"/>
      <c r="O240" s="15"/>
      <c r="P240" s="16"/>
    </row>
    <row r="241" spans="1:16" s="4" customFormat="1" x14ac:dyDescent="0.25">
      <c r="A241" s="62" t="s">
        <v>1652</v>
      </c>
      <c r="B241" s="12">
        <v>9780230620643</v>
      </c>
      <c r="C241" s="13" t="s">
        <v>239</v>
      </c>
      <c r="D241" s="14" t="str">
        <f>HYPERLINK("http://www.springer.com/gp/book/9780230620643","Conflict Resolution and Peace Education")</f>
        <v>Conflict Resolution and Peace Education</v>
      </c>
      <c r="E241" s="20" t="s">
        <v>944</v>
      </c>
      <c r="F241" s="15" t="s">
        <v>688</v>
      </c>
      <c r="G241" s="16" t="s">
        <v>1525</v>
      </c>
      <c r="H241" s="17">
        <v>1121</v>
      </c>
      <c r="I241" s="37">
        <v>25</v>
      </c>
      <c r="J241" s="59">
        <v>841</v>
      </c>
      <c r="K241" s="40">
        <v>34.99</v>
      </c>
      <c r="L241" s="41" t="s">
        <v>275</v>
      </c>
      <c r="M241" s="19" t="s">
        <v>273</v>
      </c>
      <c r="N241" s="11"/>
      <c r="O241" s="15"/>
      <c r="P241" s="16"/>
    </row>
    <row r="242" spans="1:16" s="4" customFormat="1" x14ac:dyDescent="0.25">
      <c r="A242" s="62" t="s">
        <v>1652</v>
      </c>
      <c r="B242" s="12">
        <v>9780230613201</v>
      </c>
      <c r="C242" s="13" t="s">
        <v>967</v>
      </c>
      <c r="D242" s="14" t="str">
        <f>HYPERLINK("http://www.springer.com/gp/book/9780230613201","Critical Pedagogy in Uncertain Times")</f>
        <v>Critical Pedagogy in Uncertain Times</v>
      </c>
      <c r="E242" s="20" t="s">
        <v>968</v>
      </c>
      <c r="F242" s="15" t="s">
        <v>696</v>
      </c>
      <c r="G242" s="16" t="s">
        <v>1525</v>
      </c>
      <c r="H242" s="17">
        <v>3130</v>
      </c>
      <c r="I242" s="37">
        <v>25</v>
      </c>
      <c r="J242" s="59">
        <v>2348</v>
      </c>
      <c r="K242" s="40">
        <v>99.99</v>
      </c>
      <c r="L242" s="41" t="s">
        <v>275</v>
      </c>
      <c r="M242" s="26" t="s">
        <v>274</v>
      </c>
      <c r="N242" s="11"/>
      <c r="O242" s="15"/>
      <c r="P242" s="16"/>
    </row>
    <row r="243" spans="1:16" s="4" customFormat="1" x14ac:dyDescent="0.25">
      <c r="A243" s="62" t="s">
        <v>1652</v>
      </c>
      <c r="B243" s="12">
        <v>9781137300201</v>
      </c>
      <c r="C243" s="13" t="s">
        <v>1437</v>
      </c>
      <c r="D243" s="14" t="str">
        <f>HYPERLINK("http://www.springer.com/gp/book/9781137300201","Current Perspectives in Media Education")</f>
        <v>Current Perspectives in Media Education</v>
      </c>
      <c r="E243" s="20" t="s">
        <v>1438</v>
      </c>
      <c r="F243" s="15" t="s">
        <v>700</v>
      </c>
      <c r="G243" s="16" t="s">
        <v>1525</v>
      </c>
      <c r="H243" s="17">
        <v>2467</v>
      </c>
      <c r="I243" s="37">
        <v>20</v>
      </c>
      <c r="J243" s="59">
        <v>1974</v>
      </c>
      <c r="K243" s="40">
        <v>76.989999999999995</v>
      </c>
      <c r="L243" s="41" t="s">
        <v>275</v>
      </c>
      <c r="M243" s="26" t="s">
        <v>274</v>
      </c>
      <c r="N243" s="11"/>
      <c r="O243" s="15"/>
      <c r="P243" s="16"/>
    </row>
    <row r="244" spans="1:16" s="4" customFormat="1" x14ac:dyDescent="0.25">
      <c r="A244" s="62" t="s">
        <v>1652</v>
      </c>
      <c r="B244" s="12">
        <v>9780230111585</v>
      </c>
      <c r="C244" s="13" t="s">
        <v>982</v>
      </c>
      <c r="D244" s="14" t="str">
        <f>HYPERLINK("http://www.springer.com/gp/book/9780230111585","Digital Education")</f>
        <v>Digital Education</v>
      </c>
      <c r="E244" s="20" t="s">
        <v>983</v>
      </c>
      <c r="F244" s="15" t="s">
        <v>714</v>
      </c>
      <c r="G244" s="16" t="s">
        <v>1525</v>
      </c>
      <c r="H244" s="17">
        <v>3130</v>
      </c>
      <c r="I244" s="37">
        <v>25</v>
      </c>
      <c r="J244" s="59">
        <v>2348</v>
      </c>
      <c r="K244" s="40">
        <v>99.99</v>
      </c>
      <c r="L244" s="41" t="s">
        <v>275</v>
      </c>
      <c r="M244" s="26" t="s">
        <v>274</v>
      </c>
      <c r="N244" s="11"/>
      <c r="O244" s="15"/>
      <c r="P244" s="16"/>
    </row>
    <row r="245" spans="1:16" s="4" customFormat="1" x14ac:dyDescent="0.25">
      <c r="A245" s="62" t="s">
        <v>1652</v>
      </c>
      <c r="B245" s="12">
        <v>9781137437020</v>
      </c>
      <c r="C245" s="13" t="s">
        <v>986</v>
      </c>
      <c r="D245" s="14" t="str">
        <f>HYPERLINK("http://www.springer.com/gp/book/9781137437020","Digital Skills")</f>
        <v>Digital Skills</v>
      </c>
      <c r="E245" s="20" t="s">
        <v>987</v>
      </c>
      <c r="F245" s="15" t="s">
        <v>708</v>
      </c>
      <c r="G245" s="16" t="s">
        <v>1525</v>
      </c>
      <c r="H245" s="17">
        <v>2660</v>
      </c>
      <c r="I245" s="37">
        <v>20</v>
      </c>
      <c r="J245" s="59">
        <v>2128</v>
      </c>
      <c r="K245" s="40">
        <v>84.99</v>
      </c>
      <c r="L245" s="41" t="s">
        <v>275</v>
      </c>
      <c r="M245" s="26" t="s">
        <v>274</v>
      </c>
      <c r="N245" s="11"/>
      <c r="O245" s="15"/>
      <c r="P245" s="16"/>
    </row>
    <row r="246" spans="1:16" s="4" customFormat="1" x14ac:dyDescent="0.25">
      <c r="A246" s="63" t="s">
        <v>1652</v>
      </c>
      <c r="B246" s="22">
        <v>9781137304209</v>
      </c>
      <c r="C246" s="23" t="s">
        <v>559</v>
      </c>
      <c r="D246" s="24" t="s">
        <v>558</v>
      </c>
      <c r="E246" s="23"/>
      <c r="F246" s="25">
        <v>2014</v>
      </c>
      <c r="G246" s="26" t="s">
        <v>1678</v>
      </c>
      <c r="H246" s="27">
        <v>1061</v>
      </c>
      <c r="I246" s="37">
        <v>20</v>
      </c>
      <c r="J246" s="59">
        <v>849</v>
      </c>
      <c r="K246" s="42">
        <v>25.99</v>
      </c>
      <c r="L246" s="43" t="s">
        <v>272</v>
      </c>
      <c r="M246" s="26" t="s">
        <v>273</v>
      </c>
      <c r="N246" s="21"/>
      <c r="O246" s="25">
        <v>240</v>
      </c>
      <c r="P246" s="28" t="s">
        <v>560</v>
      </c>
    </row>
    <row r="247" spans="1:16" s="4" customFormat="1" x14ac:dyDescent="0.25">
      <c r="A247" s="63" t="s">
        <v>1652</v>
      </c>
      <c r="B247" s="22">
        <v>9781137334299</v>
      </c>
      <c r="C247" s="23" t="s">
        <v>70</v>
      </c>
      <c r="D247" s="24" t="s">
        <v>504</v>
      </c>
      <c r="E247" s="23"/>
      <c r="F247" s="25">
        <v>2013</v>
      </c>
      <c r="G247" s="26" t="s">
        <v>1678</v>
      </c>
      <c r="H247" s="27">
        <v>979</v>
      </c>
      <c r="I247" s="37">
        <v>20</v>
      </c>
      <c r="J247" s="59">
        <v>783</v>
      </c>
      <c r="K247" s="42">
        <v>23.99</v>
      </c>
      <c r="L247" s="43" t="s">
        <v>272</v>
      </c>
      <c r="M247" s="26" t="s">
        <v>273</v>
      </c>
      <c r="N247" s="21"/>
      <c r="O247" s="25">
        <v>312</v>
      </c>
      <c r="P247" s="28" t="s">
        <v>505</v>
      </c>
    </row>
    <row r="248" spans="1:16" s="4" customFormat="1" x14ac:dyDescent="0.25">
      <c r="A248" s="64" t="s">
        <v>1652</v>
      </c>
      <c r="B248" s="29">
        <v>9781403969361</v>
      </c>
      <c r="C248" s="30" t="s">
        <v>75</v>
      </c>
      <c r="D248" s="31" t="s">
        <v>76</v>
      </c>
      <c r="E248" s="30" t="s">
        <v>977</v>
      </c>
      <c r="F248" s="32">
        <v>2005</v>
      </c>
      <c r="G248" s="19" t="s">
        <v>4</v>
      </c>
      <c r="H248" s="33">
        <v>898</v>
      </c>
      <c r="I248" s="38">
        <v>30</v>
      </c>
      <c r="J248" s="59">
        <v>629</v>
      </c>
      <c r="K248" s="44">
        <v>21.99</v>
      </c>
      <c r="L248" s="45" t="s">
        <v>272</v>
      </c>
      <c r="M248" s="19" t="s">
        <v>273</v>
      </c>
      <c r="N248" s="29"/>
      <c r="O248" s="18">
        <v>336</v>
      </c>
      <c r="P248" s="19" t="s">
        <v>1653</v>
      </c>
    </row>
    <row r="249" spans="1:16" s="4" customFormat="1" x14ac:dyDescent="0.25">
      <c r="A249" s="62" t="s">
        <v>1652</v>
      </c>
      <c r="B249" s="12">
        <v>9780230100336</v>
      </c>
      <c r="C249" s="13" t="s">
        <v>976</v>
      </c>
      <c r="D249" s="14" t="str">
        <f>HYPERLINK("http://www.springer.com/gp/book/9780230100336","Graduate Study for the Twenty-First Century")</f>
        <v>Graduate Study for the Twenty-First Century</v>
      </c>
      <c r="E249" s="20" t="s">
        <v>977</v>
      </c>
      <c r="F249" s="15" t="s">
        <v>688</v>
      </c>
      <c r="G249" s="16" t="s">
        <v>1525</v>
      </c>
      <c r="H249" s="17">
        <v>961</v>
      </c>
      <c r="I249" s="37">
        <v>25</v>
      </c>
      <c r="J249" s="59">
        <v>721</v>
      </c>
      <c r="K249" s="40">
        <v>29.99</v>
      </c>
      <c r="L249" s="41" t="s">
        <v>275</v>
      </c>
      <c r="M249" s="19" t="s">
        <v>273</v>
      </c>
      <c r="N249" s="21" t="s">
        <v>1679</v>
      </c>
      <c r="O249" s="15"/>
      <c r="P249" s="16"/>
    </row>
    <row r="250" spans="1:16" s="4" customFormat="1" x14ac:dyDescent="0.25">
      <c r="A250" s="62" t="s">
        <v>1652</v>
      </c>
      <c r="B250" s="12">
        <v>9780230291393</v>
      </c>
      <c r="C250" s="13" t="s">
        <v>947</v>
      </c>
      <c r="D250" s="14" t="str">
        <f>HYPERLINK("http://www.springer.com/gp/book/9780230291393","Higher Education Policies in Central and Eastern Europe")</f>
        <v>Higher Education Policies in Central and Eastern Europe</v>
      </c>
      <c r="E250" s="20" t="s">
        <v>948</v>
      </c>
      <c r="F250" s="15" t="s">
        <v>714</v>
      </c>
      <c r="G250" s="16" t="s">
        <v>1525</v>
      </c>
      <c r="H250" s="17">
        <v>3130</v>
      </c>
      <c r="I250" s="37">
        <v>25</v>
      </c>
      <c r="J250" s="59">
        <v>2348</v>
      </c>
      <c r="K250" s="40">
        <v>99.99</v>
      </c>
      <c r="L250" s="41" t="s">
        <v>275</v>
      </c>
      <c r="M250" s="26" t="s">
        <v>274</v>
      </c>
      <c r="N250" s="11"/>
      <c r="O250" s="15"/>
      <c r="P250" s="16"/>
    </row>
    <row r="251" spans="1:16" s="4" customFormat="1" x14ac:dyDescent="0.25">
      <c r="A251" s="62" t="s">
        <v>1652</v>
      </c>
      <c r="B251" s="12">
        <v>9780230621213</v>
      </c>
      <c r="C251" s="13" t="s">
        <v>973</v>
      </c>
      <c r="D251" s="14" t="str">
        <f>HYPERLINK("http://www.springer.com/gp/book/9780230621213","History, Education, and the Schools")</f>
        <v>History, Education, and the Schools</v>
      </c>
      <c r="E251" s="20"/>
      <c r="F251" s="15" t="s">
        <v>729</v>
      </c>
      <c r="G251" s="16" t="s">
        <v>1525</v>
      </c>
      <c r="H251" s="17">
        <v>1121</v>
      </c>
      <c r="I251" s="38">
        <v>30</v>
      </c>
      <c r="J251" s="59">
        <v>785</v>
      </c>
      <c r="K251" s="40">
        <v>34.99</v>
      </c>
      <c r="L251" s="41" t="s">
        <v>275</v>
      </c>
      <c r="M251" s="19" t="s">
        <v>273</v>
      </c>
      <c r="N251" s="11"/>
      <c r="O251" s="15"/>
      <c r="P251" s="16"/>
    </row>
    <row r="252" spans="1:16" s="4" customFormat="1" x14ac:dyDescent="0.25">
      <c r="A252" s="62" t="s">
        <v>1652</v>
      </c>
      <c r="B252" s="12">
        <v>9780230618787</v>
      </c>
      <c r="C252" s="13" t="s">
        <v>939</v>
      </c>
      <c r="D252" s="14" t="str">
        <f>HYPERLINK("http://www.springer.com/gp/book/9780230618787","International Students and Global Mobility in Higher Education")</f>
        <v>International Students and Global Mobility in Higher Education</v>
      </c>
      <c r="E252" s="20" t="s">
        <v>940</v>
      </c>
      <c r="F252" s="15" t="s">
        <v>714</v>
      </c>
      <c r="G252" s="16" t="s">
        <v>1525</v>
      </c>
      <c r="H252" s="17">
        <v>3130</v>
      </c>
      <c r="I252" s="37">
        <v>25</v>
      </c>
      <c r="J252" s="59">
        <v>2348</v>
      </c>
      <c r="K252" s="40">
        <v>99.99</v>
      </c>
      <c r="L252" s="41" t="s">
        <v>275</v>
      </c>
      <c r="M252" s="26" t="s">
        <v>274</v>
      </c>
      <c r="N252" s="11"/>
      <c r="O252" s="15"/>
      <c r="P252" s="16"/>
    </row>
    <row r="253" spans="1:16" s="4" customFormat="1" x14ac:dyDescent="0.25">
      <c r="A253" s="62" t="s">
        <v>1652</v>
      </c>
      <c r="B253" s="12">
        <v>9781137434708</v>
      </c>
      <c r="C253" s="13" t="s">
        <v>952</v>
      </c>
      <c r="D253" s="14" t="str">
        <f>HYPERLINK("http://www.springer.com/gp/book/9781137434708","Investigating the Language of Special Education")</f>
        <v>Investigating the Language of Special Education</v>
      </c>
      <c r="E253" s="20" t="s">
        <v>953</v>
      </c>
      <c r="F253" s="15" t="s">
        <v>708</v>
      </c>
      <c r="G253" s="16" t="s">
        <v>1525</v>
      </c>
      <c r="H253" s="17">
        <v>2563</v>
      </c>
      <c r="I253" s="37">
        <v>20</v>
      </c>
      <c r="J253" s="59">
        <v>2050</v>
      </c>
      <c r="K253" s="40">
        <v>79.989999999999995</v>
      </c>
      <c r="L253" s="41" t="s">
        <v>275</v>
      </c>
      <c r="M253" s="26" t="s">
        <v>274</v>
      </c>
      <c r="N253" s="11"/>
      <c r="O253" s="15"/>
      <c r="P253" s="16"/>
    </row>
    <row r="254" spans="1:16" s="4" customFormat="1" x14ac:dyDescent="0.25">
      <c r="A254" s="63" t="s">
        <v>1652</v>
      </c>
      <c r="B254" s="22">
        <v>9781137276834</v>
      </c>
      <c r="C254" s="23" t="s">
        <v>563</v>
      </c>
      <c r="D254" s="24" t="s">
        <v>562</v>
      </c>
      <c r="E254" s="23"/>
      <c r="F254" s="25">
        <v>2013</v>
      </c>
      <c r="G254" s="26" t="s">
        <v>1678</v>
      </c>
      <c r="H254" s="27">
        <v>1020</v>
      </c>
      <c r="I254" s="37">
        <v>20</v>
      </c>
      <c r="J254" s="59">
        <v>816</v>
      </c>
      <c r="K254" s="42">
        <v>24.99</v>
      </c>
      <c r="L254" s="43" t="s">
        <v>272</v>
      </c>
      <c r="M254" s="26" t="s">
        <v>273</v>
      </c>
      <c r="N254" s="21"/>
      <c r="O254" s="25">
        <v>176</v>
      </c>
      <c r="P254" s="28" t="s">
        <v>564</v>
      </c>
    </row>
    <row r="255" spans="1:16" s="4" customFormat="1" x14ac:dyDescent="0.25">
      <c r="A255" s="63" t="s">
        <v>1652</v>
      </c>
      <c r="B255" s="22">
        <v>9780230241480</v>
      </c>
      <c r="C255" s="23" t="s">
        <v>638</v>
      </c>
      <c r="D255" s="24" t="s">
        <v>637</v>
      </c>
      <c r="E255" s="23"/>
      <c r="F255" s="25">
        <v>2010</v>
      </c>
      <c r="G255" s="26" t="s">
        <v>1678</v>
      </c>
      <c r="H255" s="27">
        <v>1143</v>
      </c>
      <c r="I255" s="37">
        <v>25</v>
      </c>
      <c r="J255" s="59">
        <v>857</v>
      </c>
      <c r="K255" s="42">
        <v>27.99</v>
      </c>
      <c r="L255" s="43" t="s">
        <v>272</v>
      </c>
      <c r="M255" s="26" t="s">
        <v>273</v>
      </c>
      <c r="N255" s="21"/>
      <c r="O255" s="25">
        <v>288</v>
      </c>
      <c r="P255" s="28" t="s">
        <v>639</v>
      </c>
    </row>
    <row r="256" spans="1:16" s="4" customFormat="1" x14ac:dyDescent="0.25">
      <c r="A256" s="63" t="s">
        <v>1652</v>
      </c>
      <c r="B256" s="22">
        <v>9781137328755</v>
      </c>
      <c r="C256" s="23" t="s">
        <v>509</v>
      </c>
      <c r="D256" s="24" t="s">
        <v>508</v>
      </c>
      <c r="E256" s="23"/>
      <c r="F256" s="25">
        <v>2014</v>
      </c>
      <c r="G256" s="26" t="s">
        <v>1678</v>
      </c>
      <c r="H256" s="27">
        <v>1061</v>
      </c>
      <c r="I256" s="37">
        <v>20</v>
      </c>
      <c r="J256" s="59">
        <v>849</v>
      </c>
      <c r="K256" s="42">
        <v>25.99</v>
      </c>
      <c r="L256" s="43" t="s">
        <v>272</v>
      </c>
      <c r="M256" s="26" t="s">
        <v>273</v>
      </c>
      <c r="N256" s="21"/>
      <c r="O256" s="25">
        <v>200</v>
      </c>
      <c r="P256" s="28" t="s">
        <v>510</v>
      </c>
    </row>
    <row r="257" spans="1:16" s="4" customFormat="1" x14ac:dyDescent="0.25">
      <c r="A257" s="63" t="s">
        <v>1652</v>
      </c>
      <c r="B257" s="22">
        <v>9780230542907</v>
      </c>
      <c r="C257" s="23" t="s">
        <v>432</v>
      </c>
      <c r="D257" s="24" t="s">
        <v>98</v>
      </c>
      <c r="E257" s="23"/>
      <c r="F257" s="25">
        <v>2012</v>
      </c>
      <c r="G257" s="26" t="s">
        <v>1678</v>
      </c>
      <c r="H257" s="27">
        <v>816</v>
      </c>
      <c r="I257" s="37">
        <v>20</v>
      </c>
      <c r="J257" s="59">
        <v>653</v>
      </c>
      <c r="K257" s="42">
        <v>19.989999999999998</v>
      </c>
      <c r="L257" s="43" t="s">
        <v>272</v>
      </c>
      <c r="M257" s="26" t="s">
        <v>273</v>
      </c>
      <c r="N257" s="21"/>
      <c r="O257" s="25">
        <v>336</v>
      </c>
      <c r="P257" s="28" t="s">
        <v>433</v>
      </c>
    </row>
    <row r="258" spans="1:16" s="4" customFormat="1" x14ac:dyDescent="0.25">
      <c r="A258" s="62" t="s">
        <v>1652</v>
      </c>
      <c r="B258" s="12">
        <v>9780230114869</v>
      </c>
      <c r="C258" s="13" t="s">
        <v>965</v>
      </c>
      <c r="D258" s="14" t="str">
        <f>HYPERLINK("http://www.springer.com/gp/book/9780230114869","New Faculty")</f>
        <v>New Faculty</v>
      </c>
      <c r="E258" s="20" t="s">
        <v>966</v>
      </c>
      <c r="F258" s="15" t="s">
        <v>714</v>
      </c>
      <c r="G258" s="16" t="s">
        <v>1525</v>
      </c>
      <c r="H258" s="17">
        <v>961</v>
      </c>
      <c r="I258" s="37">
        <v>25</v>
      </c>
      <c r="J258" s="59">
        <v>721</v>
      </c>
      <c r="K258" s="40">
        <v>29.99</v>
      </c>
      <c r="L258" s="41" t="s">
        <v>275</v>
      </c>
      <c r="M258" s="19" t="s">
        <v>273</v>
      </c>
      <c r="N258" s="21" t="s">
        <v>1680</v>
      </c>
      <c r="O258" s="15"/>
      <c r="P258" s="16"/>
    </row>
    <row r="259" spans="1:16" s="4" customFormat="1" x14ac:dyDescent="0.25">
      <c r="A259" s="63" t="s">
        <v>1652</v>
      </c>
      <c r="B259" s="22">
        <v>9780230224742</v>
      </c>
      <c r="C259" s="23" t="s">
        <v>104</v>
      </c>
      <c r="D259" s="24" t="s">
        <v>568</v>
      </c>
      <c r="E259" s="23"/>
      <c r="F259" s="25">
        <v>2013</v>
      </c>
      <c r="G259" s="26" t="s">
        <v>1678</v>
      </c>
      <c r="H259" s="27">
        <v>1102</v>
      </c>
      <c r="I259" s="37">
        <v>20</v>
      </c>
      <c r="J259" s="59">
        <v>882</v>
      </c>
      <c r="K259" s="42">
        <v>26.99</v>
      </c>
      <c r="L259" s="43" t="s">
        <v>272</v>
      </c>
      <c r="M259" s="26" t="s">
        <v>273</v>
      </c>
      <c r="N259" s="21"/>
      <c r="O259" s="25">
        <v>224</v>
      </c>
      <c r="P259" s="28" t="s">
        <v>569</v>
      </c>
    </row>
    <row r="260" spans="1:16" s="4" customFormat="1" x14ac:dyDescent="0.25">
      <c r="A260" s="64" t="s">
        <v>1652</v>
      </c>
      <c r="B260" s="22">
        <v>9781137327949</v>
      </c>
      <c r="C260" s="23" t="s">
        <v>279</v>
      </c>
      <c r="D260" s="24" t="s">
        <v>224</v>
      </c>
      <c r="E260" s="23"/>
      <c r="F260" s="25">
        <v>2013</v>
      </c>
      <c r="G260" s="26" t="s">
        <v>1678</v>
      </c>
      <c r="H260" s="27">
        <v>250</v>
      </c>
      <c r="I260" s="37">
        <v>20</v>
      </c>
      <c r="J260" s="59">
        <v>200</v>
      </c>
      <c r="K260" s="42">
        <v>5.99</v>
      </c>
      <c r="L260" s="43" t="s">
        <v>272</v>
      </c>
      <c r="M260" s="26" t="s">
        <v>273</v>
      </c>
      <c r="N260" s="21"/>
      <c r="O260" s="25">
        <v>176</v>
      </c>
      <c r="P260" s="28" t="s">
        <v>477</v>
      </c>
    </row>
    <row r="261" spans="1:16" s="4" customFormat="1" x14ac:dyDescent="0.25">
      <c r="A261" s="63" t="s">
        <v>1652</v>
      </c>
      <c r="B261" s="22">
        <v>9780230251939</v>
      </c>
      <c r="C261" s="23" t="s">
        <v>350</v>
      </c>
      <c r="D261" s="24" t="s">
        <v>349</v>
      </c>
      <c r="E261" s="23"/>
      <c r="F261" s="25">
        <v>2010</v>
      </c>
      <c r="G261" s="26" t="s">
        <v>1678</v>
      </c>
      <c r="H261" s="27">
        <v>250</v>
      </c>
      <c r="I261" s="37">
        <v>25</v>
      </c>
      <c r="J261" s="59">
        <v>188</v>
      </c>
      <c r="K261" s="42">
        <v>5.99</v>
      </c>
      <c r="L261" s="43" t="s">
        <v>272</v>
      </c>
      <c r="M261" s="26" t="s">
        <v>273</v>
      </c>
      <c r="N261" s="21"/>
      <c r="O261" s="25">
        <v>136</v>
      </c>
      <c r="P261" s="28" t="s">
        <v>351</v>
      </c>
    </row>
    <row r="262" spans="1:16" s="4" customFormat="1" x14ac:dyDescent="0.25">
      <c r="A262" s="62" t="s">
        <v>1652</v>
      </c>
      <c r="B262" s="12">
        <v>9780230223905</v>
      </c>
      <c r="C262" s="13" t="s">
        <v>1439</v>
      </c>
      <c r="D262" s="14" t="str">
        <f>HYPERLINK("http://www.springer.com/gp/book/9780230223905","Risk, Shocks, and Human Development")</f>
        <v>Risk, Shocks, and Human Development</v>
      </c>
      <c r="E262" s="20" t="s">
        <v>1440</v>
      </c>
      <c r="F262" s="15" t="s">
        <v>688</v>
      </c>
      <c r="G262" s="16" t="s">
        <v>1525</v>
      </c>
      <c r="H262" s="17">
        <v>4069</v>
      </c>
      <c r="I262" s="37">
        <v>25</v>
      </c>
      <c r="J262" s="59">
        <v>3052</v>
      </c>
      <c r="K262" s="40">
        <v>129.99</v>
      </c>
      <c r="L262" s="41" t="s">
        <v>275</v>
      </c>
      <c r="M262" s="26" t="s">
        <v>274</v>
      </c>
      <c r="N262" s="11"/>
      <c r="O262" s="15"/>
      <c r="P262" s="16"/>
    </row>
    <row r="263" spans="1:16" s="4" customFormat="1" x14ac:dyDescent="0.25">
      <c r="A263" s="63" t="s">
        <v>1652</v>
      </c>
      <c r="B263" s="22">
        <v>9780230308138</v>
      </c>
      <c r="C263" s="23" t="s">
        <v>394</v>
      </c>
      <c r="D263" s="24" t="s">
        <v>393</v>
      </c>
      <c r="E263" s="23"/>
      <c r="F263" s="25">
        <v>2012</v>
      </c>
      <c r="G263" s="26" t="s">
        <v>1678</v>
      </c>
      <c r="H263" s="27">
        <v>626</v>
      </c>
      <c r="I263" s="37">
        <v>20</v>
      </c>
      <c r="J263" s="59">
        <v>501</v>
      </c>
      <c r="K263" s="42">
        <v>14.99</v>
      </c>
      <c r="L263" s="43" t="s">
        <v>272</v>
      </c>
      <c r="M263" s="26" t="s">
        <v>273</v>
      </c>
      <c r="N263" s="21"/>
      <c r="O263" s="25">
        <v>104</v>
      </c>
      <c r="P263" s="28" t="s">
        <v>395</v>
      </c>
    </row>
    <row r="264" spans="1:16" s="4" customFormat="1" x14ac:dyDescent="0.25">
      <c r="A264" s="62" t="s">
        <v>1652</v>
      </c>
      <c r="B264" s="12">
        <v>9781137379450</v>
      </c>
      <c r="C264" s="13" t="s">
        <v>956</v>
      </c>
      <c r="D264" s="14" t="str">
        <f>HYPERLINK("http://www.springer.com/gp/book/9781137379450","Teaching Excellence in Higher Education")</f>
        <v>Teaching Excellence in Higher Education</v>
      </c>
      <c r="E264" s="20"/>
      <c r="F264" s="15" t="s">
        <v>700</v>
      </c>
      <c r="G264" s="16" t="s">
        <v>1525</v>
      </c>
      <c r="H264" s="17">
        <v>2817</v>
      </c>
      <c r="I264" s="37">
        <v>20</v>
      </c>
      <c r="J264" s="59">
        <v>2254</v>
      </c>
      <c r="K264" s="40">
        <v>89.99</v>
      </c>
      <c r="L264" s="41" t="s">
        <v>275</v>
      </c>
      <c r="M264" s="26" t="s">
        <v>274</v>
      </c>
      <c r="N264" s="11"/>
      <c r="O264" s="15"/>
      <c r="P264" s="16"/>
    </row>
    <row r="265" spans="1:16" s="4" customFormat="1" x14ac:dyDescent="0.25">
      <c r="A265" s="63" t="s">
        <v>1652</v>
      </c>
      <c r="B265" s="22">
        <v>9780333962985</v>
      </c>
      <c r="C265" s="23" t="s">
        <v>417</v>
      </c>
      <c r="D265" s="24" t="s">
        <v>416</v>
      </c>
      <c r="E265" s="23"/>
      <c r="F265" s="25">
        <v>2009</v>
      </c>
      <c r="G265" s="26" t="s">
        <v>1678</v>
      </c>
      <c r="H265" s="27">
        <v>1143</v>
      </c>
      <c r="I265" s="37">
        <v>25</v>
      </c>
      <c r="J265" s="59">
        <v>857</v>
      </c>
      <c r="K265" s="42">
        <v>27.99</v>
      </c>
      <c r="L265" s="43" t="s">
        <v>272</v>
      </c>
      <c r="M265" s="26" t="s">
        <v>273</v>
      </c>
      <c r="N265" s="21"/>
      <c r="O265" s="25">
        <v>208</v>
      </c>
      <c r="P265" s="28" t="s">
        <v>418</v>
      </c>
    </row>
    <row r="266" spans="1:16" s="4" customFormat="1" x14ac:dyDescent="0.25">
      <c r="A266" s="62" t="s">
        <v>1652</v>
      </c>
      <c r="B266" s="12">
        <v>9780230300019</v>
      </c>
      <c r="C266" s="13" t="s">
        <v>253</v>
      </c>
      <c r="D266" s="14" t="str">
        <f>HYPERLINK("http://www.springer.com/gp/book/9780230300019","Teaching Politics and International Relations")</f>
        <v>Teaching Politics and International Relations</v>
      </c>
      <c r="E266" s="20"/>
      <c r="F266" s="15" t="s">
        <v>752</v>
      </c>
      <c r="G266" s="16" t="s">
        <v>1525</v>
      </c>
      <c r="H266" s="17">
        <v>3443</v>
      </c>
      <c r="I266" s="37">
        <v>20</v>
      </c>
      <c r="J266" s="59">
        <v>2754</v>
      </c>
      <c r="K266" s="40">
        <v>109.99</v>
      </c>
      <c r="L266" s="41" t="s">
        <v>275</v>
      </c>
      <c r="M266" s="26" t="s">
        <v>274</v>
      </c>
      <c r="N266" s="11"/>
      <c r="O266" s="15"/>
      <c r="P266" s="16"/>
    </row>
    <row r="267" spans="1:16" s="4" customFormat="1" x14ac:dyDescent="0.25">
      <c r="A267" s="62" t="s">
        <v>1652</v>
      </c>
      <c r="B267" s="12">
        <v>9780230104907</v>
      </c>
      <c r="C267" s="13" t="s">
        <v>1464</v>
      </c>
      <c r="D267" s="14" t="str">
        <f>HYPERLINK("http://www.springer.com/gp/book/9780230104907","Teaching Transformation")</f>
        <v>Teaching Transformation</v>
      </c>
      <c r="E267" s="20" t="s">
        <v>1465</v>
      </c>
      <c r="F267" s="15" t="s">
        <v>729</v>
      </c>
      <c r="G267" s="16" t="s">
        <v>1525</v>
      </c>
      <c r="H267" s="17">
        <v>961</v>
      </c>
      <c r="I267" s="38">
        <v>30</v>
      </c>
      <c r="J267" s="59">
        <v>673</v>
      </c>
      <c r="K267" s="40">
        <v>29.99</v>
      </c>
      <c r="L267" s="41" t="s">
        <v>275</v>
      </c>
      <c r="M267" s="19" t="s">
        <v>273</v>
      </c>
      <c r="N267" s="11"/>
      <c r="O267" s="15"/>
      <c r="P267" s="16"/>
    </row>
    <row r="268" spans="1:16" s="4" customFormat="1" x14ac:dyDescent="0.25">
      <c r="A268" s="64" t="s">
        <v>1652</v>
      </c>
      <c r="B268" s="29">
        <v>9781403960542</v>
      </c>
      <c r="C268" s="30" t="s">
        <v>141</v>
      </c>
      <c r="D268" s="31" t="s">
        <v>142</v>
      </c>
      <c r="E268" s="30"/>
      <c r="F268" s="32">
        <v>2003</v>
      </c>
      <c r="G268" s="19" t="s">
        <v>4</v>
      </c>
      <c r="H268" s="33">
        <v>1347</v>
      </c>
      <c r="I268" s="38">
        <v>30</v>
      </c>
      <c r="J268" s="59">
        <v>943</v>
      </c>
      <c r="K268" s="44">
        <v>33</v>
      </c>
      <c r="L268" s="45" t="s">
        <v>272</v>
      </c>
      <c r="M268" s="19" t="s">
        <v>273</v>
      </c>
      <c r="N268" s="29"/>
      <c r="O268" s="18">
        <v>304</v>
      </c>
      <c r="P268" s="19" t="s">
        <v>1651</v>
      </c>
    </row>
    <row r="269" spans="1:16" s="4" customFormat="1" x14ac:dyDescent="0.25">
      <c r="A269" s="62" t="s">
        <v>1652</v>
      </c>
      <c r="B269" s="12">
        <v>9780230620681</v>
      </c>
      <c r="C269" s="13" t="s">
        <v>962</v>
      </c>
      <c r="D269" s="14" t="str">
        <f>HYPERLINK("http://www.springer.com/gp/book/9780230620681","The Future of Diversity")</f>
        <v>The Future of Diversity</v>
      </c>
      <c r="E269" s="20" t="s">
        <v>963</v>
      </c>
      <c r="F269" s="15" t="s">
        <v>688</v>
      </c>
      <c r="G269" s="16" t="s">
        <v>1525</v>
      </c>
      <c r="H269" s="17">
        <v>3130</v>
      </c>
      <c r="I269" s="37">
        <v>25</v>
      </c>
      <c r="J269" s="59">
        <v>2348</v>
      </c>
      <c r="K269" s="40">
        <v>99.99</v>
      </c>
      <c r="L269" s="41" t="s">
        <v>275</v>
      </c>
      <c r="M269" s="26" t="s">
        <v>274</v>
      </c>
      <c r="N269" s="11"/>
      <c r="O269" s="15"/>
      <c r="P269" s="16"/>
    </row>
    <row r="270" spans="1:16" s="4" customFormat="1" x14ac:dyDescent="0.25">
      <c r="A270" s="62" t="s">
        <v>1652</v>
      </c>
      <c r="B270" s="12">
        <v>9781137440396</v>
      </c>
      <c r="C270" s="13" t="s">
        <v>832</v>
      </c>
      <c r="D270" s="14" t="str">
        <f>HYPERLINK("http://www.springer.com/gp/book/9781137440396","The Future of Writing")</f>
        <v>The Future of Writing</v>
      </c>
      <c r="E270" s="20"/>
      <c r="F270" s="15" t="s">
        <v>708</v>
      </c>
      <c r="G270" s="16" t="s">
        <v>1525</v>
      </c>
      <c r="H270" s="17">
        <v>2147</v>
      </c>
      <c r="I270" s="37">
        <v>20</v>
      </c>
      <c r="J270" s="59">
        <v>1718</v>
      </c>
      <c r="K270" s="40">
        <v>66.989999999999995</v>
      </c>
      <c r="L270" s="41" t="s">
        <v>275</v>
      </c>
      <c r="M270" s="26" t="s">
        <v>274</v>
      </c>
      <c r="N270" s="11"/>
      <c r="O270" s="15"/>
      <c r="P270" s="16"/>
    </row>
    <row r="271" spans="1:16" s="4" customFormat="1" x14ac:dyDescent="0.25">
      <c r="A271" s="62" t="s">
        <v>1652</v>
      </c>
      <c r="B271" s="12">
        <v>9780230521032</v>
      </c>
      <c r="C271" s="13" t="s">
        <v>949</v>
      </c>
      <c r="D271" s="14" t="str">
        <f>HYPERLINK("http://www.springer.com/gp/book/9780230521032","The Changing Face of Academic Life")</f>
        <v>The Changing Face of Academic Life</v>
      </c>
      <c r="E271" s="20" t="s">
        <v>950</v>
      </c>
      <c r="F271" s="15" t="s">
        <v>696</v>
      </c>
      <c r="G271" s="16" t="s">
        <v>1525</v>
      </c>
      <c r="H271" s="17">
        <v>3286</v>
      </c>
      <c r="I271" s="37">
        <v>25</v>
      </c>
      <c r="J271" s="59">
        <v>2465</v>
      </c>
      <c r="K271" s="40">
        <v>104.99</v>
      </c>
      <c r="L271" s="41" t="s">
        <v>275</v>
      </c>
      <c r="M271" s="26" t="s">
        <v>274</v>
      </c>
      <c r="N271" s="11"/>
      <c r="O271" s="15"/>
      <c r="P271" s="16"/>
    </row>
    <row r="272" spans="1:16" s="4" customFormat="1" x14ac:dyDescent="0.25">
      <c r="A272" s="63" t="s">
        <v>1652</v>
      </c>
      <c r="B272" s="22">
        <v>9780230297876</v>
      </c>
      <c r="C272" s="23" t="s">
        <v>156</v>
      </c>
      <c r="D272" s="24" t="s">
        <v>157</v>
      </c>
      <c r="E272" s="23"/>
      <c r="F272" s="25">
        <v>2012</v>
      </c>
      <c r="G272" s="26" t="s">
        <v>1678</v>
      </c>
      <c r="H272" s="27">
        <v>710</v>
      </c>
      <c r="I272" s="37">
        <v>20</v>
      </c>
      <c r="J272" s="59">
        <v>568</v>
      </c>
      <c r="K272" s="42">
        <v>16.989999999999998</v>
      </c>
      <c r="L272" s="43" t="s">
        <v>272</v>
      </c>
      <c r="M272" s="26" t="s">
        <v>273</v>
      </c>
      <c r="N272" s="21" t="s">
        <v>1680</v>
      </c>
      <c r="O272" s="25">
        <v>344</v>
      </c>
      <c r="P272" s="28" t="s">
        <v>519</v>
      </c>
    </row>
    <row r="273" spans="1:16" s="4" customFormat="1" x14ac:dyDescent="0.25">
      <c r="A273" s="62" t="s">
        <v>1652</v>
      </c>
      <c r="B273" s="12">
        <v>9780230605763</v>
      </c>
      <c r="C273" s="13" t="s">
        <v>985</v>
      </c>
      <c r="D273" s="14" t="str">
        <f>HYPERLINK("http://www.springer.com/gp/book/9780230605763","The Politics of Trauma in Education")</f>
        <v>The Politics of Trauma in Education</v>
      </c>
      <c r="E273" s="20"/>
      <c r="F273" s="15" t="s">
        <v>705</v>
      </c>
      <c r="G273" s="16" t="s">
        <v>1525</v>
      </c>
      <c r="H273" s="17">
        <v>2817</v>
      </c>
      <c r="I273" s="37">
        <v>25</v>
      </c>
      <c r="J273" s="59">
        <v>2113</v>
      </c>
      <c r="K273" s="40">
        <v>89.99</v>
      </c>
      <c r="L273" s="41" t="s">
        <v>275</v>
      </c>
      <c r="M273" s="26" t="s">
        <v>274</v>
      </c>
      <c r="N273" s="11"/>
      <c r="O273" s="15"/>
      <c r="P273" s="16"/>
    </row>
    <row r="274" spans="1:16" s="4" customFormat="1" x14ac:dyDescent="0.25">
      <c r="A274" s="63" t="s">
        <v>1652</v>
      </c>
      <c r="B274" s="22">
        <v>9781137024190</v>
      </c>
      <c r="C274" s="23" t="s">
        <v>400</v>
      </c>
      <c r="D274" s="24" t="s">
        <v>399</v>
      </c>
      <c r="E274" s="23"/>
      <c r="F274" s="25">
        <v>2013</v>
      </c>
      <c r="G274" s="26" t="s">
        <v>1678</v>
      </c>
      <c r="H274" s="27">
        <v>938</v>
      </c>
      <c r="I274" s="37">
        <v>20</v>
      </c>
      <c r="J274" s="59">
        <v>750</v>
      </c>
      <c r="K274" s="42">
        <v>22.99</v>
      </c>
      <c r="L274" s="43" t="s">
        <v>272</v>
      </c>
      <c r="M274" s="26" t="s">
        <v>273</v>
      </c>
      <c r="N274" s="21"/>
      <c r="O274" s="25">
        <v>256</v>
      </c>
      <c r="P274" s="28" t="s">
        <v>401</v>
      </c>
    </row>
    <row r="275" spans="1:16" s="4" customFormat="1" x14ac:dyDescent="0.25">
      <c r="A275" s="63" t="s">
        <v>1652</v>
      </c>
      <c r="B275" s="22">
        <v>9781403911308</v>
      </c>
      <c r="C275" s="23" t="s">
        <v>410</v>
      </c>
      <c r="D275" s="24" t="s">
        <v>169</v>
      </c>
      <c r="E275" s="23"/>
      <c r="F275" s="25">
        <v>2003</v>
      </c>
      <c r="G275" s="26" t="s">
        <v>1678</v>
      </c>
      <c r="H275" s="27">
        <v>1183</v>
      </c>
      <c r="I275" s="38">
        <v>30</v>
      </c>
      <c r="J275" s="59">
        <v>828</v>
      </c>
      <c r="K275" s="42">
        <v>28.99</v>
      </c>
      <c r="L275" s="43" t="s">
        <v>272</v>
      </c>
      <c r="M275" s="26" t="s">
        <v>273</v>
      </c>
      <c r="N275" s="21"/>
      <c r="O275" s="25">
        <v>224</v>
      </c>
      <c r="P275" s="28" t="s">
        <v>411</v>
      </c>
    </row>
    <row r="276" spans="1:16" s="4" customFormat="1" x14ac:dyDescent="0.25">
      <c r="A276" s="62" t="s">
        <v>1652</v>
      </c>
      <c r="B276" s="12">
        <v>9781137373106</v>
      </c>
      <c r="C276" s="13" t="s">
        <v>971</v>
      </c>
      <c r="D276" s="14" t="str">
        <f>HYPERLINK("http://www.springer.com/gp/book/9781137373106","The Unruly PhD")</f>
        <v>The Unruly PhD</v>
      </c>
      <c r="E276" s="20" t="s">
        <v>972</v>
      </c>
      <c r="F276" s="15" t="s">
        <v>708</v>
      </c>
      <c r="G276" s="16" t="s">
        <v>1525</v>
      </c>
      <c r="H276" s="17">
        <v>961</v>
      </c>
      <c r="I276" s="37">
        <v>20</v>
      </c>
      <c r="J276" s="59">
        <v>769</v>
      </c>
      <c r="K276" s="40">
        <v>29.99</v>
      </c>
      <c r="L276" s="41" t="s">
        <v>275</v>
      </c>
      <c r="M276" s="19" t="s">
        <v>273</v>
      </c>
      <c r="N276" s="11"/>
      <c r="O276" s="15"/>
      <c r="P276" s="16"/>
    </row>
    <row r="277" spans="1:16" s="4" customFormat="1" x14ac:dyDescent="0.25">
      <c r="A277" s="62" t="s">
        <v>1652</v>
      </c>
      <c r="B277" s="12">
        <v>9781137034939</v>
      </c>
      <c r="C277" s="13" t="s">
        <v>945</v>
      </c>
      <c r="D277" s="14" t="str">
        <f>HYPERLINK("http://www.springer.com/gp/book/9781137034939","Transnational Higher Education in the Asian Context")</f>
        <v>Transnational Higher Education in the Asian Context</v>
      </c>
      <c r="E277" s="20"/>
      <c r="F277" s="15" t="s">
        <v>700</v>
      </c>
      <c r="G277" s="16" t="s">
        <v>1525</v>
      </c>
      <c r="H277" s="17">
        <v>2723</v>
      </c>
      <c r="I277" s="37">
        <v>20</v>
      </c>
      <c r="J277" s="59">
        <v>2178</v>
      </c>
      <c r="K277" s="40">
        <v>86.99</v>
      </c>
      <c r="L277" s="41" t="s">
        <v>275</v>
      </c>
      <c r="M277" s="26" t="s">
        <v>274</v>
      </c>
      <c r="N277" s="11"/>
      <c r="O277" s="15"/>
      <c r="P277" s="16"/>
    </row>
    <row r="278" spans="1:16" s="4" customFormat="1" x14ac:dyDescent="0.25">
      <c r="A278" s="63" t="s">
        <v>1652</v>
      </c>
      <c r="B278" s="22">
        <v>9780230237087</v>
      </c>
      <c r="C278" s="23" t="s">
        <v>495</v>
      </c>
      <c r="D278" s="24" t="s">
        <v>183</v>
      </c>
      <c r="E278" s="23"/>
      <c r="F278" s="25">
        <v>2011</v>
      </c>
      <c r="G278" s="26" t="s">
        <v>1678</v>
      </c>
      <c r="H278" s="27">
        <v>1143</v>
      </c>
      <c r="I278" s="37">
        <v>25</v>
      </c>
      <c r="J278" s="59">
        <v>857</v>
      </c>
      <c r="K278" s="42">
        <v>27.99</v>
      </c>
      <c r="L278" s="43" t="s">
        <v>272</v>
      </c>
      <c r="M278" s="26" t="s">
        <v>273</v>
      </c>
      <c r="N278" s="21"/>
      <c r="O278" s="25">
        <v>304</v>
      </c>
      <c r="P278" s="28" t="s">
        <v>496</v>
      </c>
    </row>
    <row r="279" spans="1:16" s="4" customFormat="1" x14ac:dyDescent="0.25">
      <c r="A279" s="63" t="s">
        <v>1705</v>
      </c>
      <c r="B279" s="22">
        <v>9780230242753</v>
      </c>
      <c r="C279" s="23" t="s">
        <v>599</v>
      </c>
      <c r="D279" s="24" t="s">
        <v>179</v>
      </c>
      <c r="E279" s="23"/>
      <c r="F279" s="25">
        <v>2011</v>
      </c>
      <c r="G279" s="26" t="s">
        <v>1678</v>
      </c>
      <c r="H279" s="27">
        <v>1918</v>
      </c>
      <c r="I279" s="37">
        <v>25</v>
      </c>
      <c r="J279" s="59">
        <v>1439</v>
      </c>
      <c r="K279" s="42">
        <v>46.99</v>
      </c>
      <c r="L279" s="43" t="s">
        <v>272</v>
      </c>
      <c r="M279" s="26" t="s">
        <v>273</v>
      </c>
      <c r="N279" s="21" t="s">
        <v>1680</v>
      </c>
      <c r="O279" s="25">
        <v>656</v>
      </c>
      <c r="P279" s="28" t="s">
        <v>600</v>
      </c>
    </row>
    <row r="280" spans="1:16" s="4" customFormat="1" x14ac:dyDescent="0.25">
      <c r="A280" s="62" t="s">
        <v>1700</v>
      </c>
      <c r="B280" s="12">
        <v>9780230219427</v>
      </c>
      <c r="C280" s="13" t="s">
        <v>102</v>
      </c>
      <c r="D280" s="14" t="str">
        <f>HYPERLINK("http://www.springer.com/gp/book/9780230219427","New Waves in Philosophy of Mathematics")</f>
        <v>New Waves in Philosophy of Mathematics</v>
      </c>
      <c r="E280" s="20"/>
      <c r="F280" s="15" t="s">
        <v>696</v>
      </c>
      <c r="G280" s="16" t="s">
        <v>1525</v>
      </c>
      <c r="H280" s="17">
        <v>3443</v>
      </c>
      <c r="I280" s="37">
        <v>25</v>
      </c>
      <c r="J280" s="59">
        <v>2582</v>
      </c>
      <c r="K280" s="40">
        <v>109.99</v>
      </c>
      <c r="L280" s="41" t="s">
        <v>275</v>
      </c>
      <c r="M280" s="26" t="s">
        <v>274</v>
      </c>
      <c r="N280" s="11"/>
      <c r="O280" s="15"/>
      <c r="P280" s="16"/>
    </row>
    <row r="281" spans="1:16" s="4" customFormat="1" x14ac:dyDescent="0.25">
      <c r="A281" s="62" t="s">
        <v>1701</v>
      </c>
      <c r="B281" s="12">
        <v>9780230239265</v>
      </c>
      <c r="C281" s="13" t="s">
        <v>1105</v>
      </c>
      <c r="D281" s="14" t="str">
        <f>HYPERLINK("http://www.springer.com/gp/book/9780230239265","An Introduction to Animals and Political Theory")</f>
        <v>An Introduction to Animals and Political Theory</v>
      </c>
      <c r="E281" s="20"/>
      <c r="F281" s="15" t="s">
        <v>688</v>
      </c>
      <c r="G281" s="16" t="s">
        <v>1525</v>
      </c>
      <c r="H281" s="17">
        <v>961</v>
      </c>
      <c r="I281" s="37">
        <v>25</v>
      </c>
      <c r="J281" s="59">
        <v>721</v>
      </c>
      <c r="K281" s="40">
        <v>29.99</v>
      </c>
      <c r="L281" s="41" t="s">
        <v>275</v>
      </c>
      <c r="M281" s="19" t="s">
        <v>273</v>
      </c>
      <c r="N281" s="11"/>
      <c r="O281" s="15"/>
      <c r="P281" s="16"/>
    </row>
    <row r="282" spans="1:16" s="4" customFormat="1" x14ac:dyDescent="0.25">
      <c r="A282" s="62" t="s">
        <v>1701</v>
      </c>
      <c r="B282" s="12">
        <v>9780230245532</v>
      </c>
      <c r="C282" s="13" t="s">
        <v>1100</v>
      </c>
      <c r="D282" s="14" t="str">
        <f>HYPERLINK("http://www.springer.com/gp/book/9780230245532","Morality, Moral Luck and Responsibility")</f>
        <v>Morality, Moral Luck and Responsibility</v>
      </c>
      <c r="E282" s="20" t="s">
        <v>1101</v>
      </c>
      <c r="F282" s="15" t="s">
        <v>691</v>
      </c>
      <c r="G282" s="16" t="s">
        <v>1525</v>
      </c>
      <c r="H282" s="17">
        <v>961</v>
      </c>
      <c r="I282" s="38">
        <v>30</v>
      </c>
      <c r="J282" s="59">
        <v>673</v>
      </c>
      <c r="K282" s="40">
        <v>29.99</v>
      </c>
      <c r="L282" s="41" t="s">
        <v>275</v>
      </c>
      <c r="M282" s="19" t="s">
        <v>273</v>
      </c>
      <c r="N282" s="11"/>
      <c r="O282" s="15"/>
      <c r="P282" s="16"/>
    </row>
    <row r="283" spans="1:16" s="4" customFormat="1" x14ac:dyDescent="0.25">
      <c r="A283" s="62" t="s">
        <v>1701</v>
      </c>
      <c r="B283" s="12">
        <v>9780230240971</v>
      </c>
      <c r="C283" s="13" t="s">
        <v>1133</v>
      </c>
      <c r="D283" s="14" t="str">
        <f>HYPERLINK("http://www.springer.com/gp/book/9780230240971","Punishment and Ethics")</f>
        <v>Punishment and Ethics</v>
      </c>
      <c r="E283" s="20" t="s">
        <v>1134</v>
      </c>
      <c r="F283" s="15" t="s">
        <v>688</v>
      </c>
      <c r="G283" s="16" t="s">
        <v>1525</v>
      </c>
      <c r="H283" s="17">
        <v>2817</v>
      </c>
      <c r="I283" s="37">
        <v>25</v>
      </c>
      <c r="J283" s="59">
        <v>2113</v>
      </c>
      <c r="K283" s="40">
        <v>89.99</v>
      </c>
      <c r="L283" s="41" t="s">
        <v>275</v>
      </c>
      <c r="M283" s="26" t="s">
        <v>274</v>
      </c>
      <c r="N283" s="11"/>
      <c r="O283" s="15"/>
      <c r="P283" s="16"/>
    </row>
    <row r="284" spans="1:16" s="4" customFormat="1" x14ac:dyDescent="0.25">
      <c r="A284" s="62" t="s">
        <v>1701</v>
      </c>
      <c r="B284" s="12">
        <v>9781137333643</v>
      </c>
      <c r="C284" s="13" t="s">
        <v>1114</v>
      </c>
      <c r="D284" s="14" t="str">
        <f>HYPERLINK("http://www.springer.com/gp/book/9781137333643","The Ethics of Risk")</f>
        <v>The Ethics of Risk</v>
      </c>
      <c r="E284" s="20" t="s">
        <v>1115</v>
      </c>
      <c r="F284" s="15" t="s">
        <v>700</v>
      </c>
      <c r="G284" s="16" t="s">
        <v>1525</v>
      </c>
      <c r="H284" s="17">
        <v>2660</v>
      </c>
      <c r="I284" s="37">
        <v>20</v>
      </c>
      <c r="J284" s="59">
        <v>2128</v>
      </c>
      <c r="K284" s="40">
        <v>84.99</v>
      </c>
      <c r="L284" s="41" t="s">
        <v>275</v>
      </c>
      <c r="M284" s="26" t="s">
        <v>274</v>
      </c>
      <c r="N284" s="11"/>
      <c r="O284" s="15"/>
      <c r="P284" s="16"/>
    </row>
    <row r="285" spans="1:16" s="4" customFormat="1" x14ac:dyDescent="0.25">
      <c r="A285" s="62" t="s">
        <v>1701</v>
      </c>
      <c r="B285" s="12">
        <v>9780230276567</v>
      </c>
      <c r="C285" s="13" t="s">
        <v>161</v>
      </c>
      <c r="D285" s="14" t="str">
        <f>HYPERLINK("http://www.springer.com/gp/book/9780230276567","The Moral Dimensions of Empathy")</f>
        <v>The Moral Dimensions of Empathy</v>
      </c>
      <c r="E285" s="20" t="s">
        <v>1127</v>
      </c>
      <c r="F285" s="15" t="s">
        <v>714</v>
      </c>
      <c r="G285" s="16" t="s">
        <v>1525</v>
      </c>
      <c r="H285" s="17">
        <v>2723</v>
      </c>
      <c r="I285" s="37">
        <v>25</v>
      </c>
      <c r="J285" s="59">
        <v>2042</v>
      </c>
      <c r="K285" s="40">
        <v>86.99</v>
      </c>
      <c r="L285" s="41" t="s">
        <v>275</v>
      </c>
      <c r="M285" s="26" t="s">
        <v>274</v>
      </c>
      <c r="N285" s="11"/>
      <c r="O285" s="15"/>
      <c r="P285" s="16"/>
    </row>
    <row r="286" spans="1:16" s="4" customFormat="1" x14ac:dyDescent="0.25">
      <c r="A286" s="62" t="s">
        <v>1701</v>
      </c>
      <c r="B286" s="12">
        <v>9781137391841</v>
      </c>
      <c r="C286" s="13" t="s">
        <v>1119</v>
      </c>
      <c r="D286" s="14" t="str">
        <f>HYPERLINK("http://www.springer.com/gp/book/9781137391841","The Palgrave Handbook of Altruism, Morality, and Social Solidarity")</f>
        <v>The Palgrave Handbook of Altruism, Morality, and Social Solidarity</v>
      </c>
      <c r="E286" s="20" t="s">
        <v>1120</v>
      </c>
      <c r="F286" s="15" t="s">
        <v>708</v>
      </c>
      <c r="G286" s="16" t="s">
        <v>1525</v>
      </c>
      <c r="H286" s="17">
        <v>5008</v>
      </c>
      <c r="I286" s="37">
        <v>20</v>
      </c>
      <c r="J286" s="59">
        <v>4006</v>
      </c>
      <c r="K286" s="40">
        <v>159.99</v>
      </c>
      <c r="L286" s="41" t="s">
        <v>275</v>
      </c>
      <c r="M286" s="26" t="s">
        <v>274</v>
      </c>
      <c r="N286" s="11"/>
      <c r="O286" s="15"/>
      <c r="P286" s="16"/>
    </row>
    <row r="287" spans="1:16" s="4" customFormat="1" x14ac:dyDescent="0.25">
      <c r="A287" s="62" t="s">
        <v>1701</v>
      </c>
      <c r="B287" s="12">
        <v>9781137280282</v>
      </c>
      <c r="C287" s="13" t="s">
        <v>1102</v>
      </c>
      <c r="D287" s="14" t="str">
        <f>HYPERLINK("http://www.springer.com/gp/book/9781137280282","Virtues in Action")</f>
        <v>Virtues in Action</v>
      </c>
      <c r="E287" s="20" t="s">
        <v>1103</v>
      </c>
      <c r="F287" s="15" t="s">
        <v>700</v>
      </c>
      <c r="G287" s="16" t="s">
        <v>1525</v>
      </c>
      <c r="H287" s="17">
        <v>2660</v>
      </c>
      <c r="I287" s="37">
        <v>20</v>
      </c>
      <c r="J287" s="59">
        <v>2128</v>
      </c>
      <c r="K287" s="40">
        <v>84.99</v>
      </c>
      <c r="L287" s="41" t="s">
        <v>275</v>
      </c>
      <c r="M287" s="26" t="s">
        <v>274</v>
      </c>
      <c r="N287" s="11"/>
      <c r="O287" s="15"/>
      <c r="P287" s="16"/>
    </row>
    <row r="288" spans="1:16" s="4" customFormat="1" x14ac:dyDescent="0.25">
      <c r="A288" s="62" t="s">
        <v>1715</v>
      </c>
      <c r="B288" s="12">
        <v>9781137033307</v>
      </c>
      <c r="C288" s="13" t="s">
        <v>1517</v>
      </c>
      <c r="D288" s="14" t="str">
        <f>HYPERLINK("http://www.springer.com/gp/book/9781137033307","Commonplace Diversity: Social Relations in a Super-Diverse Context")</f>
        <v>Commonplace Diversity: Social Relations in a Super-Diverse Context</v>
      </c>
      <c r="E288" s="20"/>
      <c r="F288" s="15" t="s">
        <v>708</v>
      </c>
      <c r="G288" s="16" t="s">
        <v>1525</v>
      </c>
      <c r="H288" s="17">
        <v>2563</v>
      </c>
      <c r="I288" s="37">
        <v>20</v>
      </c>
      <c r="J288" s="59">
        <v>2050</v>
      </c>
      <c r="K288" s="40">
        <v>79.989999999999995</v>
      </c>
      <c r="L288" s="41" t="s">
        <v>275</v>
      </c>
      <c r="M288" s="26" t="s">
        <v>274</v>
      </c>
      <c r="N288" s="11"/>
      <c r="O288" s="15"/>
      <c r="P288" s="16"/>
    </row>
    <row r="289" spans="1:16" s="4" customFormat="1" x14ac:dyDescent="0.25">
      <c r="A289" s="62" t="s">
        <v>1715</v>
      </c>
      <c r="B289" s="12">
        <v>9781137469717</v>
      </c>
      <c r="C289" s="13" t="s">
        <v>1474</v>
      </c>
      <c r="D289" s="14" t="str">
        <f>HYPERLINK("http://www.springer.com/gp/book/9781137469717","Equality, Citizenship, and Segregation")</f>
        <v>Equality, Citizenship, and Segregation</v>
      </c>
      <c r="E289" s="20" t="s">
        <v>1475</v>
      </c>
      <c r="F289" s="15" t="s">
        <v>700</v>
      </c>
      <c r="G289" s="16" t="s">
        <v>1525</v>
      </c>
      <c r="H289" s="17">
        <v>1185</v>
      </c>
      <c r="I289" s="37">
        <v>20</v>
      </c>
      <c r="J289" s="59">
        <v>948</v>
      </c>
      <c r="K289" s="40">
        <v>36.99</v>
      </c>
      <c r="L289" s="41" t="s">
        <v>275</v>
      </c>
      <c r="M289" s="19" t="s">
        <v>273</v>
      </c>
      <c r="N289" s="11"/>
      <c r="O289" s="15"/>
      <c r="P289" s="16"/>
    </row>
    <row r="290" spans="1:16" s="4" customFormat="1" x14ac:dyDescent="0.25">
      <c r="A290" s="62" t="s">
        <v>1715</v>
      </c>
      <c r="B290" s="12">
        <v>9781137033703</v>
      </c>
      <c r="C290" s="13" t="s">
        <v>1474</v>
      </c>
      <c r="D290" s="14" t="str">
        <f>HYPERLINK("http://www.springer.com/gp/book/9781137033703","Equality, Citizenship, and Segregation")</f>
        <v>Equality, Citizenship, and Segregation</v>
      </c>
      <c r="E290" s="20" t="s">
        <v>1475</v>
      </c>
      <c r="F290" s="15" t="s">
        <v>700</v>
      </c>
      <c r="G290" s="16" t="s">
        <v>1525</v>
      </c>
      <c r="H290" s="17">
        <v>2563</v>
      </c>
      <c r="I290" s="37">
        <v>20</v>
      </c>
      <c r="J290" s="59">
        <v>2050</v>
      </c>
      <c r="K290" s="40">
        <v>79.989999999999995</v>
      </c>
      <c r="L290" s="41" t="s">
        <v>275</v>
      </c>
      <c r="M290" s="26" t="s">
        <v>274</v>
      </c>
      <c r="N290" s="11"/>
      <c r="O290" s="15"/>
      <c r="P290" s="16"/>
    </row>
    <row r="291" spans="1:16" s="4" customFormat="1" x14ac:dyDescent="0.25">
      <c r="A291" s="64" t="s">
        <v>1602</v>
      </c>
      <c r="B291" s="29">
        <v>9780805057911</v>
      </c>
      <c r="C291" s="30" t="s">
        <v>199</v>
      </c>
      <c r="D291" s="31" t="s">
        <v>200</v>
      </c>
      <c r="E291" s="30"/>
      <c r="F291" s="32">
        <v>1998</v>
      </c>
      <c r="G291" s="19" t="s">
        <v>4</v>
      </c>
      <c r="H291" s="33">
        <v>549</v>
      </c>
      <c r="I291" s="38">
        <v>30</v>
      </c>
      <c r="J291" s="59">
        <v>384</v>
      </c>
      <c r="K291" s="44">
        <v>13.15</v>
      </c>
      <c r="L291" s="45" t="s">
        <v>272</v>
      </c>
      <c r="M291" s="19" t="s">
        <v>273</v>
      </c>
      <c r="N291" s="29"/>
      <c r="O291" s="18">
        <v>513</v>
      </c>
      <c r="P291" s="19" t="s">
        <v>1603</v>
      </c>
    </row>
    <row r="292" spans="1:16" s="4" customFormat="1" x14ac:dyDescent="0.25">
      <c r="A292" s="62" t="s">
        <v>1698</v>
      </c>
      <c r="B292" s="12">
        <v>9780230223929</v>
      </c>
      <c r="C292" s="13" t="s">
        <v>1001</v>
      </c>
      <c r="D292" s="14" t="str">
        <f>HYPERLINK("http://www.springer.com/gp/book/9780230223929","The Palgrave Encyclopedia of World Economic History")</f>
        <v>The Palgrave Encyclopedia of World Economic History</v>
      </c>
      <c r="E292" s="20" t="s">
        <v>1002</v>
      </c>
      <c r="F292" s="15" t="s">
        <v>688</v>
      </c>
      <c r="G292" s="16" t="s">
        <v>1525</v>
      </c>
      <c r="H292" s="17">
        <v>9985</v>
      </c>
      <c r="I292" s="37">
        <v>25</v>
      </c>
      <c r="J292" s="59">
        <v>7489</v>
      </c>
      <c r="K292" s="40">
        <v>319</v>
      </c>
      <c r="L292" s="41" t="s">
        <v>275</v>
      </c>
      <c r="M292" s="26" t="s">
        <v>274</v>
      </c>
      <c r="N292" s="11"/>
      <c r="O292" s="15"/>
      <c r="P292" s="16"/>
    </row>
    <row r="293" spans="1:16" s="4" customFormat="1" x14ac:dyDescent="0.25">
      <c r="A293" s="64" t="s">
        <v>1531</v>
      </c>
      <c r="B293" s="22">
        <v>9780230019430</v>
      </c>
      <c r="C293" s="23" t="s">
        <v>434</v>
      </c>
      <c r="D293" s="24" t="s">
        <v>37</v>
      </c>
      <c r="E293" s="23"/>
      <c r="F293" s="25">
        <v>2011</v>
      </c>
      <c r="G293" s="26" t="s">
        <v>1678</v>
      </c>
      <c r="H293" s="27">
        <v>857</v>
      </c>
      <c r="I293" s="37">
        <v>25</v>
      </c>
      <c r="J293" s="59">
        <v>643</v>
      </c>
      <c r="K293" s="42">
        <v>20.99</v>
      </c>
      <c r="L293" s="43" t="s">
        <v>272</v>
      </c>
      <c r="M293" s="26" t="s">
        <v>273</v>
      </c>
      <c r="N293" s="21"/>
      <c r="O293" s="25">
        <v>328</v>
      </c>
      <c r="P293" s="28" t="s">
        <v>435</v>
      </c>
    </row>
    <row r="294" spans="1:16" s="4" customFormat="1" x14ac:dyDescent="0.25">
      <c r="A294" s="64" t="s">
        <v>1531</v>
      </c>
      <c r="B294" s="22">
        <v>9781457621444</v>
      </c>
      <c r="C294" s="23" t="s">
        <v>324</v>
      </c>
      <c r="D294" s="24" t="s">
        <v>325</v>
      </c>
      <c r="E294" s="23"/>
      <c r="F294" s="25">
        <v>2013</v>
      </c>
      <c r="G294" s="26" t="s">
        <v>1678</v>
      </c>
      <c r="H294" s="27">
        <v>898</v>
      </c>
      <c r="I294" s="37">
        <v>20</v>
      </c>
      <c r="J294" s="59">
        <v>718</v>
      </c>
      <c r="K294" s="42">
        <v>21.99</v>
      </c>
      <c r="L294" s="43" t="s">
        <v>272</v>
      </c>
      <c r="M294" s="26" t="s">
        <v>273</v>
      </c>
      <c r="N294" s="21" t="s">
        <v>1688</v>
      </c>
      <c r="O294" s="25">
        <v>336</v>
      </c>
      <c r="P294" s="28" t="s">
        <v>650</v>
      </c>
    </row>
    <row r="295" spans="1:16" s="4" customFormat="1" x14ac:dyDescent="0.25">
      <c r="A295" s="63" t="s">
        <v>1531</v>
      </c>
      <c r="B295" s="22">
        <v>9780333726600</v>
      </c>
      <c r="C295" s="23" t="s">
        <v>340</v>
      </c>
      <c r="D295" s="24" t="s">
        <v>40</v>
      </c>
      <c r="E295" s="23"/>
      <c r="F295" s="25">
        <v>2008</v>
      </c>
      <c r="G295" s="26" t="s">
        <v>1678</v>
      </c>
      <c r="H295" s="27">
        <v>3062</v>
      </c>
      <c r="I295" s="37">
        <v>25</v>
      </c>
      <c r="J295" s="59">
        <v>2297</v>
      </c>
      <c r="K295" s="42">
        <v>75</v>
      </c>
      <c r="L295" s="43" t="s">
        <v>272</v>
      </c>
      <c r="M295" s="26" t="s">
        <v>274</v>
      </c>
      <c r="N295" s="21"/>
      <c r="O295" s="25">
        <v>224</v>
      </c>
      <c r="P295" s="28" t="s">
        <v>341</v>
      </c>
    </row>
    <row r="296" spans="1:16" s="4" customFormat="1" x14ac:dyDescent="0.25">
      <c r="A296" s="62" t="s">
        <v>1531</v>
      </c>
      <c r="B296" s="12">
        <v>9780230500402</v>
      </c>
      <c r="C296" s="13" t="s">
        <v>1013</v>
      </c>
      <c r="D296" s="14" t="str">
        <f>HYPERLINK("http://www.springer.com/gp/book/9780230500402","Appeasement in Crisis")</f>
        <v>Appeasement in Crisis</v>
      </c>
      <c r="E296" s="20" t="s">
        <v>1014</v>
      </c>
      <c r="F296" s="15" t="s">
        <v>729</v>
      </c>
      <c r="G296" s="16" t="s">
        <v>1525</v>
      </c>
      <c r="H296" s="17">
        <v>3286</v>
      </c>
      <c r="I296" s="38">
        <v>30</v>
      </c>
      <c r="J296" s="59">
        <v>2300</v>
      </c>
      <c r="K296" s="40">
        <v>104.99</v>
      </c>
      <c r="L296" s="41" t="s">
        <v>275</v>
      </c>
      <c r="M296" s="26" t="s">
        <v>274</v>
      </c>
      <c r="N296" s="11"/>
      <c r="O296" s="15"/>
      <c r="P296" s="16"/>
    </row>
    <row r="297" spans="1:16" s="4" customFormat="1" x14ac:dyDescent="0.25">
      <c r="A297" s="62" t="s">
        <v>1531</v>
      </c>
      <c r="B297" s="12">
        <v>9780230113626</v>
      </c>
      <c r="C297" s="13" t="s">
        <v>1035</v>
      </c>
      <c r="D297" s="14" t="str">
        <f>HYPERLINK("http://www.springer.com/gp/book/9780230113626","Art and Life in Modernist Prague")</f>
        <v>Art and Life in Modernist Prague</v>
      </c>
      <c r="E297" s="20" t="s">
        <v>1036</v>
      </c>
      <c r="F297" s="15" t="s">
        <v>700</v>
      </c>
      <c r="G297" s="16" t="s">
        <v>1525</v>
      </c>
      <c r="H297" s="17">
        <v>2563</v>
      </c>
      <c r="I297" s="37">
        <v>20</v>
      </c>
      <c r="J297" s="59">
        <v>2050</v>
      </c>
      <c r="K297" s="40">
        <v>79.989999999999995</v>
      </c>
      <c r="L297" s="41" t="s">
        <v>275</v>
      </c>
      <c r="M297" s="26" t="s">
        <v>274</v>
      </c>
      <c r="N297" s="11"/>
      <c r="O297" s="15"/>
      <c r="P297" s="16"/>
    </row>
    <row r="298" spans="1:16" s="4" customFormat="1" x14ac:dyDescent="0.25">
      <c r="A298" s="64" t="s">
        <v>1531</v>
      </c>
      <c r="B298" s="22">
        <v>9781403987266</v>
      </c>
      <c r="C298" s="23" t="s">
        <v>347</v>
      </c>
      <c r="D298" s="24" t="s">
        <v>346</v>
      </c>
      <c r="E298" s="23"/>
      <c r="F298" s="25">
        <v>2010</v>
      </c>
      <c r="G298" s="26" t="s">
        <v>1678</v>
      </c>
      <c r="H298" s="27">
        <v>816</v>
      </c>
      <c r="I298" s="37">
        <v>25</v>
      </c>
      <c r="J298" s="59">
        <v>612</v>
      </c>
      <c r="K298" s="42">
        <v>19.989999999999998</v>
      </c>
      <c r="L298" s="43" t="s">
        <v>272</v>
      </c>
      <c r="M298" s="26" t="s">
        <v>273</v>
      </c>
      <c r="N298" s="21"/>
      <c r="O298" s="25">
        <v>160</v>
      </c>
      <c r="P298" s="28" t="s">
        <v>348</v>
      </c>
    </row>
    <row r="299" spans="1:16" s="4" customFormat="1" x14ac:dyDescent="0.25">
      <c r="A299" s="62" t="s">
        <v>1531</v>
      </c>
      <c r="B299" s="12">
        <v>9781403972163</v>
      </c>
      <c r="C299" s="13" t="s">
        <v>45</v>
      </c>
      <c r="D299" s="14" t="str">
        <f>HYPERLINK("http://www.springer.com/gp/book/9781403972163","Civil War and World War in Europe")</f>
        <v>Civil War and World War in Europe</v>
      </c>
      <c r="E299" s="20" t="s">
        <v>1032</v>
      </c>
      <c r="F299" s="15" t="s">
        <v>917</v>
      </c>
      <c r="G299" s="16" t="s">
        <v>1525</v>
      </c>
      <c r="H299" s="17">
        <v>2817</v>
      </c>
      <c r="I299" s="38">
        <v>30</v>
      </c>
      <c r="J299" s="59">
        <v>1972</v>
      </c>
      <c r="K299" s="40">
        <v>89.99</v>
      </c>
      <c r="L299" s="41" t="s">
        <v>275</v>
      </c>
      <c r="M299" s="26" t="s">
        <v>274</v>
      </c>
      <c r="N299" s="11"/>
      <c r="O299" s="15"/>
      <c r="P299" s="16"/>
    </row>
    <row r="300" spans="1:16" s="4" customFormat="1" x14ac:dyDescent="0.25">
      <c r="A300" s="64" t="s">
        <v>1531</v>
      </c>
      <c r="B300" s="29">
        <v>9780230223707</v>
      </c>
      <c r="C300" s="30" t="s">
        <v>240</v>
      </c>
      <c r="D300" s="31" t="s">
        <v>241</v>
      </c>
      <c r="E300" s="30"/>
      <c r="F300" s="32">
        <v>2010</v>
      </c>
      <c r="G300" s="19" t="s">
        <v>4</v>
      </c>
      <c r="H300" s="33">
        <v>2653</v>
      </c>
      <c r="I300" s="37">
        <v>25</v>
      </c>
      <c r="J300" s="59">
        <v>1990</v>
      </c>
      <c r="K300" s="44">
        <v>65</v>
      </c>
      <c r="L300" s="45" t="s">
        <v>272</v>
      </c>
      <c r="M300" s="19" t="s">
        <v>274</v>
      </c>
      <c r="N300" s="21" t="s">
        <v>1679</v>
      </c>
      <c r="O300" s="18">
        <v>256</v>
      </c>
      <c r="P300" s="19" t="s">
        <v>1539</v>
      </c>
    </row>
    <row r="301" spans="1:16" s="4" customFormat="1" x14ac:dyDescent="0.25">
      <c r="A301" s="64" t="s">
        <v>1531</v>
      </c>
      <c r="B301" s="29">
        <v>9780878939626</v>
      </c>
      <c r="C301" s="30" t="s">
        <v>193</v>
      </c>
      <c r="D301" s="31" t="s">
        <v>191</v>
      </c>
      <c r="E301" s="30" t="s">
        <v>1614</v>
      </c>
      <c r="F301" s="32">
        <v>2012</v>
      </c>
      <c r="G301" s="19" t="s">
        <v>194</v>
      </c>
      <c r="H301" s="33">
        <v>1877</v>
      </c>
      <c r="I301" s="37">
        <v>20</v>
      </c>
      <c r="J301" s="59">
        <v>1502</v>
      </c>
      <c r="K301" s="44">
        <v>45.99</v>
      </c>
      <c r="L301" s="45" t="s">
        <v>272</v>
      </c>
      <c r="M301" s="19" t="s">
        <v>1547</v>
      </c>
      <c r="N301" s="29"/>
      <c r="O301" s="18"/>
      <c r="P301" s="19" t="s">
        <v>1615</v>
      </c>
    </row>
    <row r="302" spans="1:16" s="4" customFormat="1" x14ac:dyDescent="0.25">
      <c r="A302" s="62" t="s">
        <v>1531</v>
      </c>
      <c r="B302" s="12">
        <v>9780230273238</v>
      </c>
      <c r="C302" s="13" t="s">
        <v>1039</v>
      </c>
      <c r="D302" s="14" t="str">
        <f>HYPERLINK("http://www.springer.com/gp/book/9780230273238","European Identity and the Second World War")</f>
        <v>European Identity and the Second World War</v>
      </c>
      <c r="E302" s="20"/>
      <c r="F302" s="15" t="s">
        <v>714</v>
      </c>
      <c r="G302" s="16" t="s">
        <v>1525</v>
      </c>
      <c r="H302" s="17">
        <v>3130</v>
      </c>
      <c r="I302" s="37">
        <v>25</v>
      </c>
      <c r="J302" s="59">
        <v>2348</v>
      </c>
      <c r="K302" s="40">
        <v>99.99</v>
      </c>
      <c r="L302" s="41" t="s">
        <v>275</v>
      </c>
      <c r="M302" s="26" t="s">
        <v>274</v>
      </c>
      <c r="N302" s="11"/>
      <c r="O302" s="15"/>
      <c r="P302" s="16"/>
    </row>
    <row r="303" spans="1:16" s="4" customFormat="1" x14ac:dyDescent="0.25">
      <c r="A303" s="62" t="s">
        <v>1531</v>
      </c>
      <c r="B303" s="12">
        <v>9780230232686</v>
      </c>
      <c r="C303" s="13" t="s">
        <v>1010</v>
      </c>
      <c r="D303" s="14" t="str">
        <f>HYPERLINK("http://www.springer.com/gp/book/9780230232686","Europeanization in the Twentieth Century")</f>
        <v>Europeanization in the Twentieth Century</v>
      </c>
      <c r="E303" s="20" t="s">
        <v>1011</v>
      </c>
      <c r="F303" s="15" t="s">
        <v>688</v>
      </c>
      <c r="G303" s="16" t="s">
        <v>1525</v>
      </c>
      <c r="H303" s="17">
        <v>3130</v>
      </c>
      <c r="I303" s="37">
        <v>25</v>
      </c>
      <c r="J303" s="59">
        <v>2348</v>
      </c>
      <c r="K303" s="40">
        <v>99.99</v>
      </c>
      <c r="L303" s="41" t="s">
        <v>275</v>
      </c>
      <c r="M303" s="26" t="s">
        <v>274</v>
      </c>
      <c r="N303" s="11"/>
      <c r="O303" s="15"/>
      <c r="P303" s="16"/>
    </row>
    <row r="304" spans="1:16" s="4" customFormat="1" x14ac:dyDescent="0.25">
      <c r="A304" s="62" t="s">
        <v>1531</v>
      </c>
      <c r="B304" s="12">
        <v>9781137358325</v>
      </c>
      <c r="C304" s="13" t="s">
        <v>285</v>
      </c>
      <c r="D304" s="14" t="str">
        <f>HYPERLINK("http://www.springer.com/gp/book/9781137358325","Fleeting Cities")</f>
        <v>Fleeting Cities</v>
      </c>
      <c r="E304" s="20" t="s">
        <v>1012</v>
      </c>
      <c r="F304" s="15" t="s">
        <v>700</v>
      </c>
      <c r="G304" s="16" t="s">
        <v>1525</v>
      </c>
      <c r="H304" s="17">
        <v>1121</v>
      </c>
      <c r="I304" s="37">
        <v>20</v>
      </c>
      <c r="J304" s="59">
        <v>897</v>
      </c>
      <c r="K304" s="40">
        <v>34.99</v>
      </c>
      <c r="L304" s="41" t="s">
        <v>275</v>
      </c>
      <c r="M304" s="19" t="s">
        <v>273</v>
      </c>
      <c r="N304" s="11"/>
      <c r="O304" s="15"/>
      <c r="P304" s="16"/>
    </row>
    <row r="305" spans="1:16" s="4" customFormat="1" x14ac:dyDescent="0.25">
      <c r="A305" s="62" t="s">
        <v>1531</v>
      </c>
      <c r="B305" s="12">
        <v>9781137299703</v>
      </c>
      <c r="C305" s="13" t="s">
        <v>1008</v>
      </c>
      <c r="D305" s="14" t="str">
        <f>HYPERLINK("http://www.springer.com/gp/book/9781137299703","Globalizing Beauty")</f>
        <v>Globalizing Beauty</v>
      </c>
      <c r="E305" s="20" t="s">
        <v>1009</v>
      </c>
      <c r="F305" s="15" t="s">
        <v>700</v>
      </c>
      <c r="G305" s="16" t="s">
        <v>1525</v>
      </c>
      <c r="H305" s="17">
        <v>2563</v>
      </c>
      <c r="I305" s="37">
        <v>20</v>
      </c>
      <c r="J305" s="59">
        <v>2050</v>
      </c>
      <c r="K305" s="40">
        <v>79.989999999999995</v>
      </c>
      <c r="L305" s="41" t="s">
        <v>275</v>
      </c>
      <c r="M305" s="26" t="s">
        <v>274</v>
      </c>
      <c r="N305" s="11"/>
      <c r="O305" s="15"/>
      <c r="P305" s="16"/>
    </row>
    <row r="306" spans="1:16" s="4" customFormat="1" x14ac:dyDescent="0.25">
      <c r="A306" s="62" t="s">
        <v>1531</v>
      </c>
      <c r="B306" s="12">
        <v>9780230573345</v>
      </c>
      <c r="C306" s="13" t="s">
        <v>1045</v>
      </c>
      <c r="D306" s="14" t="str">
        <f>HYPERLINK("http://www.springer.com/gp/book/9780230573345","Going to War")</f>
        <v>Going to War</v>
      </c>
      <c r="E306" s="20" t="s">
        <v>1046</v>
      </c>
      <c r="F306" s="15" t="s">
        <v>696</v>
      </c>
      <c r="G306" s="16" t="s">
        <v>1525</v>
      </c>
      <c r="H306" s="17">
        <v>3130</v>
      </c>
      <c r="I306" s="37">
        <v>25</v>
      </c>
      <c r="J306" s="59">
        <v>2348</v>
      </c>
      <c r="K306" s="40">
        <v>99.99</v>
      </c>
      <c r="L306" s="41" t="s">
        <v>275</v>
      </c>
      <c r="M306" s="26" t="s">
        <v>274</v>
      </c>
      <c r="N306" s="11"/>
      <c r="O306" s="15"/>
      <c r="P306" s="16"/>
    </row>
    <row r="307" spans="1:16" s="4" customFormat="1" x14ac:dyDescent="0.25">
      <c r="A307" s="62" t="s">
        <v>1531</v>
      </c>
      <c r="B307" s="12">
        <v>9780230113855</v>
      </c>
      <c r="C307" s="13" t="s">
        <v>851</v>
      </c>
      <c r="D307" s="14" t="str">
        <f>HYPERLINK("http://www.springer.com/gp/book/9780230113855","History and Psyche")</f>
        <v>History and Psyche</v>
      </c>
      <c r="E307" s="20" t="s">
        <v>1003</v>
      </c>
      <c r="F307" s="15" t="s">
        <v>752</v>
      </c>
      <c r="G307" s="16" t="s">
        <v>1525</v>
      </c>
      <c r="H307" s="17">
        <v>865</v>
      </c>
      <c r="I307" s="37">
        <v>20</v>
      </c>
      <c r="J307" s="59">
        <v>692</v>
      </c>
      <c r="K307" s="40">
        <v>26.99</v>
      </c>
      <c r="L307" s="41" t="s">
        <v>275</v>
      </c>
      <c r="M307" s="19" t="s">
        <v>273</v>
      </c>
      <c r="N307" s="11"/>
      <c r="O307" s="15"/>
      <c r="P307" s="16"/>
    </row>
    <row r="308" spans="1:16" s="4" customFormat="1" x14ac:dyDescent="0.25">
      <c r="A308" s="62" t="s">
        <v>1531</v>
      </c>
      <c r="B308" s="12">
        <v>9780230112735</v>
      </c>
      <c r="C308" s="13" t="s">
        <v>1047</v>
      </c>
      <c r="D308" s="14" t="str">
        <f>HYPERLINK("http://www.springer.com/gp/book/9780230112735","Hitler's Ethic")</f>
        <v>Hitler's Ethic</v>
      </c>
      <c r="E308" s="20" t="s">
        <v>1048</v>
      </c>
      <c r="F308" s="15" t="s">
        <v>696</v>
      </c>
      <c r="G308" s="16" t="s">
        <v>1525</v>
      </c>
      <c r="H308" s="17">
        <v>961</v>
      </c>
      <c r="I308" s="37">
        <v>25</v>
      </c>
      <c r="J308" s="59">
        <v>721</v>
      </c>
      <c r="K308" s="40">
        <v>29.99</v>
      </c>
      <c r="L308" s="41" t="s">
        <v>275</v>
      </c>
      <c r="M308" s="19" t="s">
        <v>273</v>
      </c>
      <c r="N308" s="11"/>
      <c r="O308" s="15"/>
      <c r="P308" s="16"/>
    </row>
    <row r="309" spans="1:16" s="4" customFormat="1" x14ac:dyDescent="0.25">
      <c r="A309" s="63" t="s">
        <v>1531</v>
      </c>
      <c r="B309" s="22">
        <v>9781403903037</v>
      </c>
      <c r="C309" s="23" t="s">
        <v>478</v>
      </c>
      <c r="D309" s="24" t="s">
        <v>244</v>
      </c>
      <c r="E309" s="23"/>
      <c r="F309" s="25">
        <v>2004</v>
      </c>
      <c r="G309" s="26" t="s">
        <v>1678</v>
      </c>
      <c r="H309" s="27">
        <v>1123</v>
      </c>
      <c r="I309" s="38">
        <v>30</v>
      </c>
      <c r="J309" s="59">
        <v>786</v>
      </c>
      <c r="K309" s="42">
        <v>27.5</v>
      </c>
      <c r="L309" s="43" t="s">
        <v>272</v>
      </c>
      <c r="M309" s="26" t="s">
        <v>273</v>
      </c>
      <c r="N309" s="21" t="s">
        <v>1680</v>
      </c>
      <c r="O309" s="25">
        <v>304</v>
      </c>
      <c r="P309" s="28" t="s">
        <v>479</v>
      </c>
    </row>
    <row r="310" spans="1:16" s="4" customFormat="1" x14ac:dyDescent="0.25">
      <c r="A310" s="62" t="s">
        <v>1531</v>
      </c>
      <c r="B310" s="12">
        <v>9781137289827</v>
      </c>
      <c r="C310" s="13" t="s">
        <v>1028</v>
      </c>
      <c r="D310" s="14" t="str">
        <f>HYPERLINK("http://www.springer.com/gp/book/9781137289827","Mass Dictatorship and Memory as Ever Present Past")</f>
        <v>Mass Dictatorship and Memory as Ever Present Past</v>
      </c>
      <c r="E310" s="20"/>
      <c r="F310" s="15" t="s">
        <v>700</v>
      </c>
      <c r="G310" s="16" t="s">
        <v>1525</v>
      </c>
      <c r="H310" s="17">
        <v>2563</v>
      </c>
      <c r="I310" s="37">
        <v>20</v>
      </c>
      <c r="J310" s="59">
        <v>2050</v>
      </c>
      <c r="K310" s="40">
        <v>79.989999999999995</v>
      </c>
      <c r="L310" s="41" t="s">
        <v>275</v>
      </c>
      <c r="M310" s="26" t="s">
        <v>274</v>
      </c>
      <c r="N310" s="11"/>
      <c r="O310" s="15"/>
      <c r="P310" s="16"/>
    </row>
    <row r="311" spans="1:16" s="4" customFormat="1" x14ac:dyDescent="0.25">
      <c r="A311" s="62" t="s">
        <v>1531</v>
      </c>
      <c r="B311" s="12">
        <v>9780230232891</v>
      </c>
      <c r="C311" s="13" t="s">
        <v>1006</v>
      </c>
      <c r="D311" s="14" t="str">
        <f>HYPERLINK("http://www.springer.com/gp/book/9780230232891","Materializing Europe")</f>
        <v>Materializing Europe</v>
      </c>
      <c r="E311" s="20" t="s">
        <v>1007</v>
      </c>
      <c r="F311" s="15" t="s">
        <v>688</v>
      </c>
      <c r="G311" s="16" t="s">
        <v>1525</v>
      </c>
      <c r="H311" s="17">
        <v>3756</v>
      </c>
      <c r="I311" s="37">
        <v>25</v>
      </c>
      <c r="J311" s="59">
        <v>2817</v>
      </c>
      <c r="K311" s="40">
        <v>119.99</v>
      </c>
      <c r="L311" s="41" t="s">
        <v>275</v>
      </c>
      <c r="M311" s="26" t="s">
        <v>274</v>
      </c>
      <c r="N311" s="11"/>
      <c r="O311" s="15"/>
      <c r="P311" s="16"/>
    </row>
    <row r="312" spans="1:16" s="4" customFormat="1" x14ac:dyDescent="0.25">
      <c r="A312" s="62" t="s">
        <v>1531</v>
      </c>
      <c r="B312" s="12">
        <v>9781403944986</v>
      </c>
      <c r="C312" s="13" t="s">
        <v>1041</v>
      </c>
      <c r="D312" s="14" t="str">
        <f>HYPERLINK("http://www.springer.com/gp/book/9781403944986","Mathematics With Love")</f>
        <v>Mathematics With Love</v>
      </c>
      <c r="E312" s="20" t="s">
        <v>1042</v>
      </c>
      <c r="F312" s="15" t="s">
        <v>808</v>
      </c>
      <c r="G312" s="16" t="s">
        <v>1525</v>
      </c>
      <c r="H312" s="17">
        <v>1922</v>
      </c>
      <c r="I312" s="38">
        <v>30</v>
      </c>
      <c r="J312" s="59">
        <v>1345</v>
      </c>
      <c r="K312" s="40">
        <v>59.99</v>
      </c>
      <c r="L312" s="41" t="s">
        <v>275</v>
      </c>
      <c r="M312" s="26" t="s">
        <v>274</v>
      </c>
      <c r="N312" s="11"/>
      <c r="O312" s="15"/>
      <c r="P312" s="16"/>
    </row>
    <row r="313" spans="1:16" s="4" customFormat="1" x14ac:dyDescent="0.25">
      <c r="A313" s="63" t="s">
        <v>1531</v>
      </c>
      <c r="B313" s="22">
        <v>9780333763315</v>
      </c>
      <c r="C313" s="23" t="s">
        <v>596</v>
      </c>
      <c r="D313" s="24" t="s">
        <v>595</v>
      </c>
      <c r="E313" s="23"/>
      <c r="F313" s="25">
        <v>2003</v>
      </c>
      <c r="G313" s="26" t="s">
        <v>1678</v>
      </c>
      <c r="H313" s="27">
        <v>1143</v>
      </c>
      <c r="I313" s="38">
        <v>30</v>
      </c>
      <c r="J313" s="59">
        <v>800</v>
      </c>
      <c r="K313" s="42">
        <v>27.99</v>
      </c>
      <c r="L313" s="43" t="s">
        <v>272</v>
      </c>
      <c r="M313" s="26" t="s">
        <v>273</v>
      </c>
      <c r="N313" s="21"/>
      <c r="O313" s="25">
        <v>256</v>
      </c>
      <c r="P313" s="28" t="s">
        <v>597</v>
      </c>
    </row>
    <row r="314" spans="1:16" s="4" customFormat="1" x14ac:dyDescent="0.25">
      <c r="A314" s="62" t="s">
        <v>1531</v>
      </c>
      <c r="B314" s="12">
        <v>9781403999375</v>
      </c>
      <c r="C314" s="13" t="s">
        <v>899</v>
      </c>
      <c r="D314" s="14" t="str">
        <f>HYPERLINK("http://www.springer.com/gp/book/9781403999375","Michal Kalecki")</f>
        <v>Michal Kalecki</v>
      </c>
      <c r="E314" s="20"/>
      <c r="F314" s="15" t="s">
        <v>688</v>
      </c>
      <c r="G314" s="16" t="s">
        <v>1525</v>
      </c>
      <c r="H314" s="17">
        <v>3756</v>
      </c>
      <c r="I314" s="37">
        <v>25</v>
      </c>
      <c r="J314" s="59">
        <v>2817</v>
      </c>
      <c r="K314" s="40">
        <v>119.99</v>
      </c>
      <c r="L314" s="41" t="s">
        <v>275</v>
      </c>
      <c r="M314" s="26" t="s">
        <v>274</v>
      </c>
      <c r="N314" s="11"/>
      <c r="O314" s="15"/>
      <c r="P314" s="16"/>
    </row>
    <row r="315" spans="1:16" s="4" customFormat="1" x14ac:dyDescent="0.25">
      <c r="A315" s="62" t="s">
        <v>1531</v>
      </c>
      <c r="B315" s="12">
        <v>9780230006508</v>
      </c>
      <c r="C315" s="13" t="s">
        <v>1026</v>
      </c>
      <c r="D315" s="14" t="str">
        <f>HYPERLINK("http://www.springer.com/gp/book/9780230006508","New Essays in Applied Ethics")</f>
        <v>New Essays in Applied Ethics</v>
      </c>
      <c r="E315" s="20" t="s">
        <v>1027</v>
      </c>
      <c r="F315" s="15" t="s">
        <v>729</v>
      </c>
      <c r="G315" s="16" t="s">
        <v>1525</v>
      </c>
      <c r="H315" s="17">
        <v>3443</v>
      </c>
      <c r="I315" s="38">
        <v>30</v>
      </c>
      <c r="J315" s="59">
        <v>2410</v>
      </c>
      <c r="K315" s="40">
        <v>109.99</v>
      </c>
      <c r="L315" s="41" t="s">
        <v>275</v>
      </c>
      <c r="M315" s="26" t="s">
        <v>274</v>
      </c>
      <c r="N315" s="11"/>
      <c r="O315" s="15"/>
      <c r="P315" s="16"/>
    </row>
    <row r="316" spans="1:16" s="4" customFormat="1" x14ac:dyDescent="0.25">
      <c r="A316" s="62" t="s">
        <v>1531</v>
      </c>
      <c r="B316" s="12">
        <v>9780230552029</v>
      </c>
      <c r="C316" s="13" t="s">
        <v>1020</v>
      </c>
      <c r="D316" s="14" t="str">
        <f>HYPERLINK("http://www.springer.com/gp/book/9780230552029","Ordinary People as Mass Murderers")</f>
        <v>Ordinary People as Mass Murderers</v>
      </c>
      <c r="E316" s="20" t="s">
        <v>1021</v>
      </c>
      <c r="F316" s="15" t="s">
        <v>705</v>
      </c>
      <c r="G316" s="16" t="s">
        <v>1525</v>
      </c>
      <c r="H316" s="17">
        <v>3286</v>
      </c>
      <c r="I316" s="37">
        <v>25</v>
      </c>
      <c r="J316" s="59">
        <v>2465</v>
      </c>
      <c r="K316" s="40">
        <v>104.99</v>
      </c>
      <c r="L316" s="41" t="s">
        <v>275</v>
      </c>
      <c r="M316" s="26" t="s">
        <v>274</v>
      </c>
      <c r="N316" s="11"/>
      <c r="O316" s="15"/>
      <c r="P316" s="16"/>
    </row>
    <row r="317" spans="1:16" s="4" customFormat="1" x14ac:dyDescent="0.25">
      <c r="A317" s="62" t="s">
        <v>1531</v>
      </c>
      <c r="B317" s="12">
        <v>9781137277138</v>
      </c>
      <c r="C317" s="13" t="s">
        <v>1030</v>
      </c>
      <c r="D317" s="14" t="str">
        <f>HYPERLINK("http://www.springer.com/gp/book/9781137277138","Patriots Against Fashion")</f>
        <v>Patriots Against Fashion</v>
      </c>
      <c r="E317" s="20" t="s">
        <v>1031</v>
      </c>
      <c r="F317" s="15" t="s">
        <v>708</v>
      </c>
      <c r="G317" s="16" t="s">
        <v>1525</v>
      </c>
      <c r="H317" s="17">
        <v>2817</v>
      </c>
      <c r="I317" s="37">
        <v>20</v>
      </c>
      <c r="J317" s="59">
        <v>2254</v>
      </c>
      <c r="K317" s="40">
        <v>89.99</v>
      </c>
      <c r="L317" s="41" t="s">
        <v>275</v>
      </c>
      <c r="M317" s="26" t="s">
        <v>274</v>
      </c>
      <c r="N317" s="11"/>
      <c r="O317" s="15"/>
      <c r="P317" s="16"/>
    </row>
    <row r="318" spans="1:16" s="4" customFormat="1" x14ac:dyDescent="0.25">
      <c r="A318" s="64" t="s">
        <v>1531</v>
      </c>
      <c r="B318" s="29">
        <v>9781137278425</v>
      </c>
      <c r="C318" s="30" t="s">
        <v>114</v>
      </c>
      <c r="D318" s="31" t="s">
        <v>115</v>
      </c>
      <c r="E318" s="30" t="s">
        <v>1620</v>
      </c>
      <c r="F318" s="32">
        <v>2013</v>
      </c>
      <c r="G318" s="19" t="s">
        <v>4</v>
      </c>
      <c r="H318" s="33">
        <v>459</v>
      </c>
      <c r="I318" s="37">
        <v>20</v>
      </c>
      <c r="J318" s="59">
        <v>367</v>
      </c>
      <c r="K318" s="44">
        <v>10.99</v>
      </c>
      <c r="L318" s="45" t="s">
        <v>272</v>
      </c>
      <c r="M318" s="19" t="s">
        <v>273</v>
      </c>
      <c r="N318" s="29"/>
      <c r="O318" s="18">
        <v>272</v>
      </c>
      <c r="P318" s="19" t="s">
        <v>1621</v>
      </c>
    </row>
    <row r="319" spans="1:16" s="4" customFormat="1" x14ac:dyDescent="0.25">
      <c r="A319" s="62" t="s">
        <v>1531</v>
      </c>
      <c r="B319" s="12">
        <v>9780230230095</v>
      </c>
      <c r="C319" s="13" t="s">
        <v>1033</v>
      </c>
      <c r="D319" s="14" t="str">
        <f>HYPERLINK("http://www.springer.com/gp/book/9780230230095","Science for the Nation")</f>
        <v>Science for the Nation</v>
      </c>
      <c r="E319" s="20" t="s">
        <v>1034</v>
      </c>
      <c r="F319" s="15" t="s">
        <v>700</v>
      </c>
      <c r="G319" s="16" t="s">
        <v>1525</v>
      </c>
      <c r="H319" s="17">
        <v>3756</v>
      </c>
      <c r="I319" s="37">
        <v>20</v>
      </c>
      <c r="J319" s="59">
        <v>3005</v>
      </c>
      <c r="K319" s="40">
        <v>119.99</v>
      </c>
      <c r="L319" s="41" t="s">
        <v>275</v>
      </c>
      <c r="M319" s="26" t="s">
        <v>274</v>
      </c>
      <c r="N319" s="11"/>
      <c r="O319" s="15"/>
      <c r="P319" s="16"/>
    </row>
    <row r="320" spans="1:16" s="4" customFormat="1" x14ac:dyDescent="0.25">
      <c r="A320" s="62" t="s">
        <v>1531</v>
      </c>
      <c r="B320" s="12">
        <v>9781137321459</v>
      </c>
      <c r="C320" s="13" t="s">
        <v>1015</v>
      </c>
      <c r="D320" s="14" t="str">
        <f>HYPERLINK("http://www.springer.com/gp/book/9781137321459","Sexual Revolutions")</f>
        <v>Sexual Revolutions</v>
      </c>
      <c r="E320" s="20"/>
      <c r="F320" s="15" t="s">
        <v>708</v>
      </c>
      <c r="G320" s="16" t="s">
        <v>1525</v>
      </c>
      <c r="H320" s="17">
        <v>2660</v>
      </c>
      <c r="I320" s="37">
        <v>20</v>
      </c>
      <c r="J320" s="59">
        <v>2128</v>
      </c>
      <c r="K320" s="40">
        <v>84.99</v>
      </c>
      <c r="L320" s="41" t="s">
        <v>275</v>
      </c>
      <c r="M320" s="26" t="s">
        <v>274</v>
      </c>
      <c r="N320" s="11"/>
      <c r="O320" s="15"/>
      <c r="P320" s="16"/>
    </row>
    <row r="321" spans="1:16" s="4" customFormat="1" x14ac:dyDescent="0.25">
      <c r="A321" s="63" t="s">
        <v>1531</v>
      </c>
      <c r="B321" s="22">
        <v>9781403987914</v>
      </c>
      <c r="C321" s="23" t="s">
        <v>607</v>
      </c>
      <c r="D321" s="24" t="s">
        <v>606</v>
      </c>
      <c r="E321" s="23"/>
      <c r="F321" s="25">
        <v>2010</v>
      </c>
      <c r="G321" s="26" t="s">
        <v>1678</v>
      </c>
      <c r="H321" s="27">
        <v>1020</v>
      </c>
      <c r="I321" s="37">
        <v>25</v>
      </c>
      <c r="J321" s="59">
        <v>765</v>
      </c>
      <c r="K321" s="42">
        <v>24.99</v>
      </c>
      <c r="L321" s="43" t="s">
        <v>272</v>
      </c>
      <c r="M321" s="26" t="s">
        <v>273</v>
      </c>
      <c r="N321" s="21"/>
      <c r="O321" s="25">
        <v>196</v>
      </c>
      <c r="P321" s="28" t="s">
        <v>608</v>
      </c>
    </row>
    <row r="322" spans="1:16" s="4" customFormat="1" x14ac:dyDescent="0.25">
      <c r="A322" s="64" t="s">
        <v>1531</v>
      </c>
      <c r="B322" s="29">
        <v>9781403916051</v>
      </c>
      <c r="C322" s="30" t="s">
        <v>140</v>
      </c>
      <c r="D322" s="31" t="s">
        <v>1640</v>
      </c>
      <c r="E322" s="30" t="s">
        <v>1639</v>
      </c>
      <c r="F322" s="32">
        <v>2004</v>
      </c>
      <c r="G322" s="19" t="s">
        <v>4</v>
      </c>
      <c r="H322" s="33">
        <v>816</v>
      </c>
      <c r="I322" s="38">
        <v>30</v>
      </c>
      <c r="J322" s="59">
        <v>571</v>
      </c>
      <c r="K322" s="44">
        <v>19.989999999999998</v>
      </c>
      <c r="L322" s="45" t="s">
        <v>272</v>
      </c>
      <c r="M322" s="19" t="s">
        <v>273</v>
      </c>
      <c r="N322" s="21" t="s">
        <v>1679</v>
      </c>
      <c r="O322" s="18">
        <v>248</v>
      </c>
      <c r="P322" s="19" t="s">
        <v>1641</v>
      </c>
    </row>
    <row r="323" spans="1:16" s="4" customFormat="1" x14ac:dyDescent="0.25">
      <c r="A323" s="62" t="s">
        <v>1531</v>
      </c>
      <c r="B323" s="12">
        <v>9780230013230</v>
      </c>
      <c r="C323" s="13" t="s">
        <v>1049</v>
      </c>
      <c r="D323" s="14" t="str">
        <f>HYPERLINK("http://www.springer.com/gp/book/9780230013230","The Discursive Construction of History")</f>
        <v>The Discursive Construction of History</v>
      </c>
      <c r="E323" s="20" t="s">
        <v>1050</v>
      </c>
      <c r="F323" s="15" t="s">
        <v>705</v>
      </c>
      <c r="G323" s="16" t="s">
        <v>1525</v>
      </c>
      <c r="H323" s="17">
        <v>3599</v>
      </c>
      <c r="I323" s="37">
        <v>25</v>
      </c>
      <c r="J323" s="59">
        <v>2699</v>
      </c>
      <c r="K323" s="40">
        <v>114.99</v>
      </c>
      <c r="L323" s="41" t="s">
        <v>275</v>
      </c>
      <c r="M323" s="26" t="s">
        <v>274</v>
      </c>
      <c r="N323" s="11"/>
      <c r="O323" s="15"/>
      <c r="P323" s="16"/>
    </row>
    <row r="324" spans="1:16" s="4" customFormat="1" x14ac:dyDescent="0.25">
      <c r="A324" s="64" t="s">
        <v>1531</v>
      </c>
      <c r="B324" s="29">
        <v>9780333414163</v>
      </c>
      <c r="C324" s="30" t="s">
        <v>270</v>
      </c>
      <c r="D324" s="31" t="s">
        <v>271</v>
      </c>
      <c r="E324" s="30"/>
      <c r="F324" s="32">
        <v>1989</v>
      </c>
      <c r="G324" s="19" t="s">
        <v>4</v>
      </c>
      <c r="H324" s="33">
        <v>1061</v>
      </c>
      <c r="I324" s="38">
        <v>30</v>
      </c>
      <c r="J324" s="59">
        <v>743</v>
      </c>
      <c r="K324" s="44">
        <v>25.99</v>
      </c>
      <c r="L324" s="45" t="s">
        <v>272</v>
      </c>
      <c r="M324" s="19" t="s">
        <v>273</v>
      </c>
      <c r="N324" s="21" t="s">
        <v>1679</v>
      </c>
      <c r="O324" s="18">
        <v>544</v>
      </c>
      <c r="P324" s="19" t="s">
        <v>1577</v>
      </c>
    </row>
    <row r="325" spans="1:16" s="4" customFormat="1" x14ac:dyDescent="0.25">
      <c r="A325" s="62" t="s">
        <v>1531</v>
      </c>
      <c r="B325" s="12">
        <v>9781403992192</v>
      </c>
      <c r="C325" s="13" t="s">
        <v>1040</v>
      </c>
      <c r="D325" s="14" t="str">
        <f>HYPERLINK("http://www.springer.com/gp/book/9781403992192","The Historiography of Genocide")</f>
        <v>The Historiography of Genocide</v>
      </c>
      <c r="E325" s="20"/>
      <c r="F325" s="15" t="s">
        <v>705</v>
      </c>
      <c r="G325" s="16" t="s">
        <v>1525</v>
      </c>
      <c r="H325" s="17">
        <v>3756</v>
      </c>
      <c r="I325" s="37">
        <v>25</v>
      </c>
      <c r="J325" s="59">
        <v>2817</v>
      </c>
      <c r="K325" s="40">
        <v>119.99</v>
      </c>
      <c r="L325" s="41" t="s">
        <v>275</v>
      </c>
      <c r="M325" s="26" t="s">
        <v>274</v>
      </c>
      <c r="N325" s="11"/>
      <c r="O325" s="15"/>
      <c r="P325" s="16"/>
    </row>
    <row r="326" spans="1:16" s="4" customFormat="1" x14ac:dyDescent="0.25">
      <c r="A326" s="62" t="s">
        <v>1531</v>
      </c>
      <c r="B326" s="12">
        <v>9780230247512</v>
      </c>
      <c r="C326" s="13" t="s">
        <v>1043</v>
      </c>
      <c r="D326" s="14" t="str">
        <f>HYPERLINK("http://www.springer.com/gp/book/9780230247512","The History of Reading, Volume 1")</f>
        <v>The History of Reading, Volume 1</v>
      </c>
      <c r="E326" s="20" t="s">
        <v>1044</v>
      </c>
      <c r="F326" s="15" t="s">
        <v>714</v>
      </c>
      <c r="G326" s="16" t="s">
        <v>1525</v>
      </c>
      <c r="H326" s="17">
        <v>2660</v>
      </c>
      <c r="I326" s="37">
        <v>25</v>
      </c>
      <c r="J326" s="59">
        <v>1995</v>
      </c>
      <c r="K326" s="40">
        <v>84.99</v>
      </c>
      <c r="L326" s="41" t="s">
        <v>275</v>
      </c>
      <c r="M326" s="26" t="s">
        <v>274</v>
      </c>
      <c r="N326" s="11"/>
      <c r="O326" s="15"/>
      <c r="P326" s="16"/>
    </row>
    <row r="327" spans="1:16" s="4" customFormat="1" x14ac:dyDescent="0.25">
      <c r="A327" s="63" t="s">
        <v>1531</v>
      </c>
      <c r="B327" s="22">
        <v>9780230203860</v>
      </c>
      <c r="C327" s="23" t="s">
        <v>154</v>
      </c>
      <c r="D327" s="24" t="s">
        <v>155</v>
      </c>
      <c r="E327" s="23"/>
      <c r="F327" s="25">
        <v>2008</v>
      </c>
      <c r="G327" s="26" t="s">
        <v>1678</v>
      </c>
      <c r="H327" s="27">
        <v>2653</v>
      </c>
      <c r="I327" s="37">
        <v>25</v>
      </c>
      <c r="J327" s="59">
        <v>1990</v>
      </c>
      <c r="K327" s="42">
        <v>65</v>
      </c>
      <c r="L327" s="43" t="s">
        <v>272</v>
      </c>
      <c r="M327" s="26" t="s">
        <v>274</v>
      </c>
      <c r="N327" s="21"/>
      <c r="O327" s="25">
        <v>232</v>
      </c>
      <c r="P327" s="28" t="s">
        <v>598</v>
      </c>
    </row>
    <row r="328" spans="1:16" s="4" customFormat="1" x14ac:dyDescent="0.25">
      <c r="A328" s="62" t="s">
        <v>1531</v>
      </c>
      <c r="B328" s="12">
        <v>9780230108394</v>
      </c>
      <c r="C328" s="13" t="s">
        <v>1016</v>
      </c>
      <c r="D328" s="14" t="str">
        <f>HYPERLINK("http://www.springer.com/gp/book/9780230108394","The Military History of the Soviet Union")</f>
        <v>The Military History of the Soviet Union</v>
      </c>
      <c r="E328" s="20"/>
      <c r="F328" s="15" t="s">
        <v>688</v>
      </c>
      <c r="G328" s="16" t="s">
        <v>1525</v>
      </c>
      <c r="H328" s="17">
        <v>1121</v>
      </c>
      <c r="I328" s="37">
        <v>25</v>
      </c>
      <c r="J328" s="59">
        <v>841</v>
      </c>
      <c r="K328" s="40">
        <v>34.99</v>
      </c>
      <c r="L328" s="41" t="s">
        <v>275</v>
      </c>
      <c r="M328" s="19" t="s">
        <v>273</v>
      </c>
      <c r="N328" s="11"/>
      <c r="O328" s="15"/>
      <c r="P328" s="16"/>
    </row>
    <row r="329" spans="1:16" s="4" customFormat="1" x14ac:dyDescent="0.25">
      <c r="A329" s="62" t="s">
        <v>1531</v>
      </c>
      <c r="B329" s="12">
        <v>9781403992956</v>
      </c>
      <c r="C329" s="13" t="s">
        <v>163</v>
      </c>
      <c r="D329" s="14" t="str">
        <f>HYPERLINK("http://www.springer.com/gp/book/9781403992956","The Palgrave Dictionary of Transnational History")</f>
        <v>The Palgrave Dictionary of Transnational History</v>
      </c>
      <c r="E329" s="20" t="s">
        <v>1019</v>
      </c>
      <c r="F329" s="15" t="s">
        <v>696</v>
      </c>
      <c r="G329" s="16" t="s">
        <v>1525</v>
      </c>
      <c r="H329" s="17">
        <v>9985</v>
      </c>
      <c r="I329" s="37">
        <v>25</v>
      </c>
      <c r="J329" s="59">
        <v>7489</v>
      </c>
      <c r="K329" s="40">
        <v>319</v>
      </c>
      <c r="L329" s="41" t="s">
        <v>275</v>
      </c>
      <c r="M329" s="26" t="s">
        <v>274</v>
      </c>
      <c r="N329" s="11"/>
      <c r="O329" s="15"/>
      <c r="P329" s="16"/>
    </row>
    <row r="330" spans="1:16" s="4" customFormat="1" x14ac:dyDescent="0.25">
      <c r="A330" s="62" t="s">
        <v>1531</v>
      </c>
      <c r="B330" s="12">
        <v>9780230294738</v>
      </c>
      <c r="C330" s="13" t="s">
        <v>165</v>
      </c>
      <c r="D330" s="14" t="str">
        <f>HYPERLINK("http://www.springer.com/gp/book/9780230294738","The Politics of Language and Nationalism in Modern Central Europe")</f>
        <v>The Politics of Language and Nationalism in Modern Central Europe</v>
      </c>
      <c r="E330" s="20"/>
      <c r="F330" s="15" t="s">
        <v>696</v>
      </c>
      <c r="G330" s="16" t="s">
        <v>1525</v>
      </c>
      <c r="H330" s="17">
        <v>1602</v>
      </c>
      <c r="I330" s="37">
        <v>25</v>
      </c>
      <c r="J330" s="59">
        <v>1202</v>
      </c>
      <c r="K330" s="40">
        <v>49.99</v>
      </c>
      <c r="L330" s="41" t="s">
        <v>275</v>
      </c>
      <c r="M330" s="19" t="s">
        <v>273</v>
      </c>
      <c r="N330" s="11"/>
      <c r="O330" s="15"/>
      <c r="P330" s="16"/>
    </row>
    <row r="331" spans="1:16" s="4" customFormat="1" x14ac:dyDescent="0.25">
      <c r="A331" s="62" t="s">
        <v>1531</v>
      </c>
      <c r="B331" s="12">
        <v>9780230550704</v>
      </c>
      <c r="C331" s="13" t="s">
        <v>165</v>
      </c>
      <c r="D331" s="14" t="str">
        <f>HYPERLINK("http://www.springer.com/gp/book/9780230550704","The Politics of Language and Nationalism in Modern Central Europe")</f>
        <v>The Politics of Language and Nationalism in Modern Central Europe</v>
      </c>
      <c r="E331" s="20"/>
      <c r="F331" s="15" t="s">
        <v>696</v>
      </c>
      <c r="G331" s="16" t="s">
        <v>1525</v>
      </c>
      <c r="H331" s="17">
        <v>7481</v>
      </c>
      <c r="I331" s="37">
        <v>25</v>
      </c>
      <c r="J331" s="59">
        <v>5611</v>
      </c>
      <c r="K331" s="40">
        <v>239</v>
      </c>
      <c r="L331" s="41" t="s">
        <v>275</v>
      </c>
      <c r="M331" s="26" t="s">
        <v>274</v>
      </c>
      <c r="N331" s="11"/>
      <c r="O331" s="15"/>
      <c r="P331" s="16"/>
    </row>
    <row r="332" spans="1:16" s="4" customFormat="1" x14ac:dyDescent="0.25">
      <c r="A332" s="63" t="s">
        <v>1531</v>
      </c>
      <c r="B332" s="22">
        <v>9780333772003</v>
      </c>
      <c r="C332" s="23" t="s">
        <v>211</v>
      </c>
      <c r="D332" s="24" t="s">
        <v>472</v>
      </c>
      <c r="E332" s="23"/>
      <c r="F332" s="25">
        <v>2012</v>
      </c>
      <c r="G332" s="26" t="s">
        <v>1678</v>
      </c>
      <c r="H332" s="27">
        <v>1020</v>
      </c>
      <c r="I332" s="37">
        <v>20</v>
      </c>
      <c r="J332" s="59">
        <v>816</v>
      </c>
      <c r="K332" s="42">
        <v>24.99</v>
      </c>
      <c r="L332" s="43" t="s">
        <v>272</v>
      </c>
      <c r="M332" s="26" t="s">
        <v>273</v>
      </c>
      <c r="N332" s="21"/>
      <c r="O332" s="25">
        <v>392</v>
      </c>
      <c r="P332" s="28" t="s">
        <v>473</v>
      </c>
    </row>
    <row r="333" spans="1:16" s="4" customFormat="1" x14ac:dyDescent="0.25">
      <c r="A333" s="64" t="s">
        <v>1531</v>
      </c>
      <c r="B333" s="29">
        <v>9780230103351</v>
      </c>
      <c r="C333" s="30" t="s">
        <v>280</v>
      </c>
      <c r="D333" s="31" t="s">
        <v>281</v>
      </c>
      <c r="E333" s="30" t="s">
        <v>1529</v>
      </c>
      <c r="F333" s="32">
        <v>2010</v>
      </c>
      <c r="G333" s="19" t="s">
        <v>4</v>
      </c>
      <c r="H333" s="33">
        <v>584</v>
      </c>
      <c r="I333" s="37">
        <v>25</v>
      </c>
      <c r="J333" s="59">
        <v>438</v>
      </c>
      <c r="K333" s="44">
        <v>13.99</v>
      </c>
      <c r="L333" s="45" t="s">
        <v>272</v>
      </c>
      <c r="M333" s="19" t="s">
        <v>273</v>
      </c>
      <c r="N333" s="29"/>
      <c r="O333" s="18">
        <v>256</v>
      </c>
      <c r="P333" s="19" t="s">
        <v>1530</v>
      </c>
    </row>
    <row r="334" spans="1:16" s="4" customFormat="1" x14ac:dyDescent="0.25">
      <c r="A334" s="62" t="s">
        <v>1531</v>
      </c>
      <c r="B334" s="12">
        <v>9781137378682</v>
      </c>
      <c r="C334" s="13" t="s">
        <v>1029</v>
      </c>
      <c r="D334" s="14" t="str">
        <f>HYPERLINK("http://www.springer.com/gp/book/9781137378682","Violence and Visibility in Modern History")</f>
        <v>Violence and Visibility in Modern History</v>
      </c>
      <c r="E334" s="20"/>
      <c r="F334" s="15" t="s">
        <v>700</v>
      </c>
      <c r="G334" s="16" t="s">
        <v>1525</v>
      </c>
      <c r="H334" s="17">
        <v>2817</v>
      </c>
      <c r="I334" s="37">
        <v>20</v>
      </c>
      <c r="J334" s="59">
        <v>2254</v>
      </c>
      <c r="K334" s="40">
        <v>89.99</v>
      </c>
      <c r="L334" s="41" t="s">
        <v>275</v>
      </c>
      <c r="M334" s="26" t="s">
        <v>274</v>
      </c>
      <c r="N334" s="11"/>
      <c r="O334" s="15"/>
      <c r="P334" s="16"/>
    </row>
    <row r="335" spans="1:16" s="4" customFormat="1" x14ac:dyDescent="0.25">
      <c r="A335" s="62" t="s">
        <v>1531</v>
      </c>
      <c r="B335" s="12">
        <v>9781403987648</v>
      </c>
      <c r="C335" s="13" t="s">
        <v>1017</v>
      </c>
      <c r="D335" s="14" t="str">
        <f>HYPERLINK("http://www.springer.com/gp/book/9781403987648","Viruses Vs. Superbugs")</f>
        <v>Viruses Vs. Superbugs</v>
      </c>
      <c r="E335" s="20" t="s">
        <v>1018</v>
      </c>
      <c r="F335" s="15" t="s">
        <v>917</v>
      </c>
      <c r="G335" s="16" t="s">
        <v>1525</v>
      </c>
      <c r="H335" s="17">
        <v>801</v>
      </c>
      <c r="I335" s="38">
        <v>30</v>
      </c>
      <c r="J335" s="59">
        <v>561</v>
      </c>
      <c r="K335" s="40">
        <v>24.99</v>
      </c>
      <c r="L335" s="41" t="s">
        <v>275</v>
      </c>
      <c r="M335" s="26" t="s">
        <v>274</v>
      </c>
      <c r="N335" s="21" t="s">
        <v>1679</v>
      </c>
      <c r="O335" s="15"/>
      <c r="P335" s="16"/>
    </row>
    <row r="336" spans="1:16" s="4" customFormat="1" x14ac:dyDescent="0.25">
      <c r="A336" s="62" t="s">
        <v>1531</v>
      </c>
      <c r="B336" s="12">
        <v>9780230228054</v>
      </c>
      <c r="C336" s="13" t="s">
        <v>1024</v>
      </c>
      <c r="D336" s="14" t="str">
        <f>HYPERLINK("http://www.springer.com/gp/book/9780230228054","War Volunteering in Modern Times")</f>
        <v>War Volunteering in Modern Times</v>
      </c>
      <c r="E336" s="20" t="s">
        <v>1025</v>
      </c>
      <c r="F336" s="15" t="s">
        <v>714</v>
      </c>
      <c r="G336" s="16" t="s">
        <v>1525</v>
      </c>
      <c r="H336" s="17">
        <v>3286</v>
      </c>
      <c r="I336" s="37">
        <v>25</v>
      </c>
      <c r="J336" s="59">
        <v>2465</v>
      </c>
      <c r="K336" s="40">
        <v>104.99</v>
      </c>
      <c r="L336" s="41" t="s">
        <v>275</v>
      </c>
      <c r="M336" s="26" t="s">
        <v>274</v>
      </c>
      <c r="N336" s="11"/>
      <c r="O336" s="15"/>
      <c r="P336" s="16"/>
    </row>
    <row r="337" spans="1:16" s="4" customFormat="1" x14ac:dyDescent="0.25">
      <c r="A337" s="62" t="s">
        <v>1531</v>
      </c>
      <c r="B337" s="12">
        <v>9780230109308</v>
      </c>
      <c r="C337" s="13" t="s">
        <v>1004</v>
      </c>
      <c r="D337" s="14" t="str">
        <f>HYPERLINK("http://www.springer.com/gp/book/9780230109308","Writing the Stalin Era")</f>
        <v>Writing the Stalin Era</v>
      </c>
      <c r="E337" s="20" t="s">
        <v>1005</v>
      </c>
      <c r="F337" s="15" t="s">
        <v>714</v>
      </c>
      <c r="G337" s="16" t="s">
        <v>1525</v>
      </c>
      <c r="H337" s="17">
        <v>961</v>
      </c>
      <c r="I337" s="37">
        <v>25</v>
      </c>
      <c r="J337" s="59">
        <v>721</v>
      </c>
      <c r="K337" s="40">
        <v>29.99</v>
      </c>
      <c r="L337" s="41" t="s">
        <v>275</v>
      </c>
      <c r="M337" s="19" t="s">
        <v>273</v>
      </c>
      <c r="N337" s="11"/>
      <c r="O337" s="15"/>
      <c r="P337" s="16"/>
    </row>
    <row r="338" spans="1:16" s="4" customFormat="1" x14ac:dyDescent="0.25">
      <c r="A338" s="63" t="s">
        <v>1588</v>
      </c>
      <c r="B338" s="34">
        <v>9781429201469</v>
      </c>
      <c r="C338" s="23" t="s">
        <v>302</v>
      </c>
      <c r="D338" s="24" t="s">
        <v>303</v>
      </c>
      <c r="E338" s="23"/>
      <c r="F338" s="25">
        <v>2008</v>
      </c>
      <c r="G338" s="19" t="s">
        <v>194</v>
      </c>
      <c r="H338" s="27">
        <v>2286</v>
      </c>
      <c r="I338" s="37">
        <v>25</v>
      </c>
      <c r="J338" s="59">
        <v>1715</v>
      </c>
      <c r="K338" s="42">
        <v>55.99</v>
      </c>
      <c r="L338" s="45" t="s">
        <v>272</v>
      </c>
      <c r="M338" s="26" t="s">
        <v>274</v>
      </c>
      <c r="N338" s="21" t="s">
        <v>1681</v>
      </c>
      <c r="O338" s="35">
        <v>650</v>
      </c>
      <c r="P338" s="19" t="s">
        <v>1661</v>
      </c>
    </row>
    <row r="339" spans="1:16" s="4" customFormat="1" x14ac:dyDescent="0.25">
      <c r="A339" s="63" t="s">
        <v>1588</v>
      </c>
      <c r="B339" s="34">
        <v>9781429239257</v>
      </c>
      <c r="C339" s="23" t="s">
        <v>189</v>
      </c>
      <c r="D339" s="24" t="s">
        <v>295</v>
      </c>
      <c r="E339" s="23" t="s">
        <v>1668</v>
      </c>
      <c r="F339" s="25">
        <v>2010</v>
      </c>
      <c r="G339" s="19" t="s">
        <v>194</v>
      </c>
      <c r="H339" s="27">
        <v>2041</v>
      </c>
      <c r="I339" s="37">
        <v>25</v>
      </c>
      <c r="J339" s="59">
        <v>1531</v>
      </c>
      <c r="K339" s="42">
        <v>49.99</v>
      </c>
      <c r="L339" s="45" t="s">
        <v>272</v>
      </c>
      <c r="M339" s="26" t="s">
        <v>1547</v>
      </c>
      <c r="N339" s="21" t="s">
        <v>1682</v>
      </c>
      <c r="O339" s="35">
        <v>792</v>
      </c>
      <c r="P339" s="19" t="s">
        <v>1669</v>
      </c>
    </row>
    <row r="340" spans="1:16" s="4" customFormat="1" x14ac:dyDescent="0.25">
      <c r="A340" s="63" t="s">
        <v>1588</v>
      </c>
      <c r="B340" s="34">
        <v>9781429231350</v>
      </c>
      <c r="C340" s="23" t="s">
        <v>311</v>
      </c>
      <c r="D340" s="24" t="s">
        <v>312</v>
      </c>
      <c r="E340" s="23"/>
      <c r="F340" s="25">
        <v>2008</v>
      </c>
      <c r="G340" s="19" t="s">
        <v>194</v>
      </c>
      <c r="H340" s="27">
        <v>1592</v>
      </c>
      <c r="I340" s="37">
        <v>25</v>
      </c>
      <c r="J340" s="59">
        <v>1194</v>
      </c>
      <c r="K340" s="42">
        <v>38.99</v>
      </c>
      <c r="L340" s="45" t="s">
        <v>272</v>
      </c>
      <c r="M340" s="19" t="s">
        <v>273</v>
      </c>
      <c r="N340" s="21" t="s">
        <v>1682</v>
      </c>
      <c r="O340" s="35">
        <v>755</v>
      </c>
      <c r="P340" s="19" t="s">
        <v>1666</v>
      </c>
    </row>
    <row r="341" spans="1:16" s="4" customFormat="1" x14ac:dyDescent="0.25">
      <c r="A341" s="63" t="s">
        <v>1588</v>
      </c>
      <c r="B341" s="29">
        <v>9781429219549</v>
      </c>
      <c r="C341" s="30" t="s">
        <v>261</v>
      </c>
      <c r="D341" s="31" t="s">
        <v>262</v>
      </c>
      <c r="E341" s="30"/>
      <c r="F341" s="32">
        <v>2010</v>
      </c>
      <c r="G341" s="19" t="s">
        <v>194</v>
      </c>
      <c r="H341" s="33">
        <v>3610</v>
      </c>
      <c r="I341" s="37">
        <v>25</v>
      </c>
      <c r="J341" s="59">
        <v>2708</v>
      </c>
      <c r="K341" s="44">
        <v>90.54</v>
      </c>
      <c r="L341" s="45" t="s">
        <v>272</v>
      </c>
      <c r="M341" s="19" t="s">
        <v>273</v>
      </c>
      <c r="N341" s="21" t="s">
        <v>1684</v>
      </c>
      <c r="O341" s="18">
        <v>550</v>
      </c>
      <c r="P341" s="19" t="s">
        <v>1665</v>
      </c>
    </row>
    <row r="342" spans="1:16" s="4" customFormat="1" x14ac:dyDescent="0.25">
      <c r="A342" s="63" t="s">
        <v>1588</v>
      </c>
      <c r="B342" s="34">
        <v>9780716749752</v>
      </c>
      <c r="C342" s="23" t="s">
        <v>298</v>
      </c>
      <c r="D342" s="24" t="s">
        <v>299</v>
      </c>
      <c r="E342" s="23"/>
      <c r="F342" s="25">
        <v>2003</v>
      </c>
      <c r="G342" s="19" t="s">
        <v>194</v>
      </c>
      <c r="H342" s="27">
        <v>1673</v>
      </c>
      <c r="I342" s="38">
        <v>30</v>
      </c>
      <c r="J342" s="59">
        <v>1171</v>
      </c>
      <c r="K342" s="42">
        <v>40.99</v>
      </c>
      <c r="L342" s="45" t="s">
        <v>272</v>
      </c>
      <c r="M342" s="19" t="s">
        <v>273</v>
      </c>
      <c r="N342" s="22"/>
      <c r="O342" s="35">
        <v>300</v>
      </c>
      <c r="P342" s="19" t="s">
        <v>1587</v>
      </c>
    </row>
    <row r="343" spans="1:16" s="4" customFormat="1" x14ac:dyDescent="0.25">
      <c r="A343" s="63" t="s">
        <v>1588</v>
      </c>
      <c r="B343" s="22">
        <v>9781891389252</v>
      </c>
      <c r="C343" s="23" t="s">
        <v>651</v>
      </c>
      <c r="D343" s="24" t="s">
        <v>318</v>
      </c>
      <c r="E343" s="23"/>
      <c r="F343" s="25">
        <v>2010</v>
      </c>
      <c r="G343" s="26" t="s">
        <v>1678</v>
      </c>
      <c r="H343" s="27">
        <v>2776</v>
      </c>
      <c r="I343" s="37">
        <v>25</v>
      </c>
      <c r="J343" s="59">
        <v>2082</v>
      </c>
      <c r="K343" s="42">
        <v>67.989999999999995</v>
      </c>
      <c r="L343" s="43" t="s">
        <v>272</v>
      </c>
      <c r="M343" s="26" t="s">
        <v>274</v>
      </c>
      <c r="N343" s="21"/>
      <c r="O343" s="25">
        <v>1053</v>
      </c>
      <c r="P343" s="28" t="s">
        <v>652</v>
      </c>
    </row>
    <row r="344" spans="1:16" s="4" customFormat="1" x14ac:dyDescent="0.25">
      <c r="A344" s="63" t="s">
        <v>1588</v>
      </c>
      <c r="B344" s="22">
        <v>9781891389313</v>
      </c>
      <c r="C344" s="23" t="s">
        <v>670</v>
      </c>
      <c r="D344" s="24" t="s">
        <v>317</v>
      </c>
      <c r="E344" s="23"/>
      <c r="F344" s="25">
        <v>2005</v>
      </c>
      <c r="G344" s="26" t="s">
        <v>1678</v>
      </c>
      <c r="H344" s="27">
        <v>3225</v>
      </c>
      <c r="I344" s="38">
        <v>30</v>
      </c>
      <c r="J344" s="59">
        <v>2258</v>
      </c>
      <c r="K344" s="42">
        <v>78.989999999999995</v>
      </c>
      <c r="L344" s="43" t="s">
        <v>272</v>
      </c>
      <c r="M344" s="26" t="s">
        <v>274</v>
      </c>
      <c r="N344" s="21"/>
      <c r="O344" s="25">
        <v>1300</v>
      </c>
      <c r="P344" s="28" t="s">
        <v>671</v>
      </c>
    </row>
    <row r="345" spans="1:16" s="4" customFormat="1" x14ac:dyDescent="0.25">
      <c r="A345" s="63" t="s">
        <v>1588</v>
      </c>
      <c r="B345" s="29">
        <v>9780716797791</v>
      </c>
      <c r="C345" s="30" t="s">
        <v>263</v>
      </c>
      <c r="D345" s="31" t="s">
        <v>264</v>
      </c>
      <c r="E345" s="30" t="s">
        <v>1597</v>
      </c>
      <c r="F345" s="32">
        <v>2002</v>
      </c>
      <c r="G345" s="19" t="s">
        <v>4</v>
      </c>
      <c r="H345" s="33">
        <v>3508</v>
      </c>
      <c r="I345" s="38">
        <v>30</v>
      </c>
      <c r="J345" s="59">
        <v>2456</v>
      </c>
      <c r="K345" s="44">
        <v>87.99</v>
      </c>
      <c r="L345" s="45" t="s">
        <v>272</v>
      </c>
      <c r="M345" s="19" t="s">
        <v>273</v>
      </c>
      <c r="N345" s="29"/>
      <c r="O345" s="18">
        <v>504</v>
      </c>
      <c r="P345" s="19" t="s">
        <v>1598</v>
      </c>
    </row>
    <row r="346" spans="1:16" s="4" customFormat="1" x14ac:dyDescent="0.25">
      <c r="A346" s="63" t="s">
        <v>1588</v>
      </c>
      <c r="B346" s="22">
        <v>9780935702309</v>
      </c>
      <c r="C346" s="23" t="s">
        <v>617</v>
      </c>
      <c r="D346" s="24" t="s">
        <v>616</v>
      </c>
      <c r="E346" s="23"/>
      <c r="F346" s="25">
        <v>1995</v>
      </c>
      <c r="G346" s="26" t="s">
        <v>1678</v>
      </c>
      <c r="H346" s="27">
        <v>1347</v>
      </c>
      <c r="I346" s="38">
        <v>30</v>
      </c>
      <c r="J346" s="59">
        <v>943</v>
      </c>
      <c r="K346" s="42">
        <v>32.99</v>
      </c>
      <c r="L346" s="43" t="s">
        <v>272</v>
      </c>
      <c r="M346" s="26" t="s">
        <v>273</v>
      </c>
      <c r="N346" s="21"/>
      <c r="O346" s="25">
        <v>244</v>
      </c>
      <c r="P346" s="28" t="s">
        <v>618</v>
      </c>
    </row>
    <row r="347" spans="1:16" s="4" customFormat="1" x14ac:dyDescent="0.25">
      <c r="A347" s="63" t="s">
        <v>1588</v>
      </c>
      <c r="B347" s="22">
        <v>9781891389382</v>
      </c>
      <c r="C347" s="23" t="s">
        <v>614</v>
      </c>
      <c r="D347" s="24" t="s">
        <v>186</v>
      </c>
      <c r="E347" s="23"/>
      <c r="F347" s="25">
        <v>2006</v>
      </c>
      <c r="G347" s="26" t="s">
        <v>1678</v>
      </c>
      <c r="H347" s="27">
        <v>2694</v>
      </c>
      <c r="I347" s="38">
        <v>30</v>
      </c>
      <c r="J347" s="59">
        <v>1886</v>
      </c>
      <c r="K347" s="42">
        <v>65.989999999999995</v>
      </c>
      <c r="L347" s="43" t="s">
        <v>272</v>
      </c>
      <c r="M347" s="26" t="s">
        <v>274</v>
      </c>
      <c r="N347" s="21" t="s">
        <v>1679</v>
      </c>
      <c r="O347" s="25">
        <v>900</v>
      </c>
      <c r="P347" s="28" t="s">
        <v>615</v>
      </c>
    </row>
    <row r="348" spans="1:16" s="4" customFormat="1" x14ac:dyDescent="0.25">
      <c r="A348" s="64" t="s">
        <v>1588</v>
      </c>
      <c r="B348" s="29">
        <v>9781429255929</v>
      </c>
      <c r="C348" s="30" t="s">
        <v>266</v>
      </c>
      <c r="D348" s="31" t="s">
        <v>267</v>
      </c>
      <c r="E348" s="30"/>
      <c r="F348" s="32">
        <v>2010</v>
      </c>
      <c r="G348" s="19" t="s">
        <v>194</v>
      </c>
      <c r="H348" s="33">
        <v>1673</v>
      </c>
      <c r="I348" s="37">
        <v>25</v>
      </c>
      <c r="J348" s="59">
        <v>1255</v>
      </c>
      <c r="K348" s="44">
        <v>40.99</v>
      </c>
      <c r="L348" s="45" t="s">
        <v>272</v>
      </c>
      <c r="M348" s="19" t="s">
        <v>273</v>
      </c>
      <c r="N348" s="29"/>
      <c r="O348" s="18">
        <v>305</v>
      </c>
      <c r="P348" s="19" t="s">
        <v>1675</v>
      </c>
    </row>
    <row r="349" spans="1:16" s="4" customFormat="1" x14ac:dyDescent="0.25">
      <c r="A349" s="63" t="s">
        <v>1588</v>
      </c>
      <c r="B349" s="22">
        <v>9781429239899</v>
      </c>
      <c r="C349" s="23" t="s">
        <v>678</v>
      </c>
      <c r="D349" s="24" t="s">
        <v>677</v>
      </c>
      <c r="E349" s="23"/>
      <c r="F349" s="25">
        <v>2010</v>
      </c>
      <c r="G349" s="26" t="s">
        <v>1678</v>
      </c>
      <c r="H349" s="27">
        <v>2572</v>
      </c>
      <c r="I349" s="37">
        <v>25</v>
      </c>
      <c r="J349" s="59">
        <v>1929</v>
      </c>
      <c r="K349" s="42">
        <v>62.99</v>
      </c>
      <c r="L349" s="43" t="s">
        <v>272</v>
      </c>
      <c r="M349" s="26" t="s">
        <v>274</v>
      </c>
      <c r="N349" s="21" t="s">
        <v>1685</v>
      </c>
      <c r="O349" s="25">
        <v>750</v>
      </c>
      <c r="P349" s="28" t="s">
        <v>679</v>
      </c>
    </row>
    <row r="350" spans="1:16" s="4" customFormat="1" x14ac:dyDescent="0.25">
      <c r="A350" s="63" t="s">
        <v>1588</v>
      </c>
      <c r="B350" s="22">
        <v>9781464107078</v>
      </c>
      <c r="C350" s="23" t="s">
        <v>623</v>
      </c>
      <c r="D350" s="24" t="s">
        <v>268</v>
      </c>
      <c r="E350" s="23"/>
      <c r="F350" s="25">
        <v>2013</v>
      </c>
      <c r="G350" s="26" t="s">
        <v>1678</v>
      </c>
      <c r="H350" s="27">
        <v>1388</v>
      </c>
      <c r="I350" s="37">
        <v>20</v>
      </c>
      <c r="J350" s="59">
        <v>1110</v>
      </c>
      <c r="K350" s="42">
        <v>33.99</v>
      </c>
      <c r="L350" s="43" t="s">
        <v>272</v>
      </c>
      <c r="M350" s="26" t="s">
        <v>273</v>
      </c>
      <c r="N350" s="21" t="s">
        <v>1683</v>
      </c>
      <c r="O350" s="25">
        <v>755</v>
      </c>
      <c r="P350" s="28" t="s">
        <v>624</v>
      </c>
    </row>
    <row r="351" spans="1:16" s="4" customFormat="1" x14ac:dyDescent="0.25">
      <c r="A351" s="63" t="s">
        <v>1588</v>
      </c>
      <c r="B351" s="22">
        <v>9781891389597</v>
      </c>
      <c r="C351" s="23" t="s">
        <v>659</v>
      </c>
      <c r="D351" s="24" t="s">
        <v>328</v>
      </c>
      <c r="E351" s="23"/>
      <c r="F351" s="25">
        <v>2009</v>
      </c>
      <c r="G351" s="26" t="s">
        <v>1678</v>
      </c>
      <c r="H351" s="27">
        <v>2327</v>
      </c>
      <c r="I351" s="37">
        <v>25</v>
      </c>
      <c r="J351" s="59">
        <v>1745</v>
      </c>
      <c r="K351" s="42">
        <v>56.99</v>
      </c>
      <c r="L351" s="43" t="s">
        <v>272</v>
      </c>
      <c r="M351" s="26" t="s">
        <v>274</v>
      </c>
      <c r="N351" s="21" t="s">
        <v>1680</v>
      </c>
      <c r="O351" s="25">
        <v>420</v>
      </c>
      <c r="P351" s="28" t="s">
        <v>660</v>
      </c>
    </row>
    <row r="352" spans="1:16" s="4" customFormat="1" x14ac:dyDescent="0.25">
      <c r="A352" s="63" t="s">
        <v>1588</v>
      </c>
      <c r="B352" s="22">
        <v>9781891389771</v>
      </c>
      <c r="C352" s="23" t="s">
        <v>646</v>
      </c>
      <c r="D352" s="24" t="s">
        <v>31</v>
      </c>
      <c r="E352" s="23"/>
      <c r="F352" s="25">
        <v>2015</v>
      </c>
      <c r="G352" s="26" t="s">
        <v>1678</v>
      </c>
      <c r="H352" s="27">
        <v>1877</v>
      </c>
      <c r="I352" s="37">
        <v>20</v>
      </c>
      <c r="J352" s="59">
        <v>1502</v>
      </c>
      <c r="K352" s="42">
        <v>45.99</v>
      </c>
      <c r="L352" s="43" t="s">
        <v>272</v>
      </c>
      <c r="M352" s="26" t="s">
        <v>274</v>
      </c>
      <c r="N352" s="21"/>
      <c r="O352" s="25">
        <v>300</v>
      </c>
      <c r="P352" s="28" t="s">
        <v>647</v>
      </c>
    </row>
    <row r="353" spans="1:16" s="4" customFormat="1" x14ac:dyDescent="0.25">
      <c r="A353" s="62" t="s">
        <v>1697</v>
      </c>
      <c r="B353" s="12">
        <v>9780230367760</v>
      </c>
      <c r="C353" s="13" t="s">
        <v>1266</v>
      </c>
      <c r="D353" s="14" t="str">
        <f>HYPERLINK("http://www.springer.com/gp/book/9780230367760","Designing the European Union")</f>
        <v>Designing the European Union</v>
      </c>
      <c r="E353" s="20" t="s">
        <v>1267</v>
      </c>
      <c r="F353" s="15" t="s">
        <v>752</v>
      </c>
      <c r="G353" s="16" t="s">
        <v>1525</v>
      </c>
      <c r="H353" s="17">
        <v>3286</v>
      </c>
      <c r="I353" s="37">
        <v>20</v>
      </c>
      <c r="J353" s="59">
        <v>2629</v>
      </c>
      <c r="K353" s="40">
        <v>104.99</v>
      </c>
      <c r="L353" s="41" t="s">
        <v>275</v>
      </c>
      <c r="M353" s="26" t="s">
        <v>274</v>
      </c>
      <c r="N353" s="11"/>
      <c r="O353" s="15"/>
      <c r="P353" s="16"/>
    </row>
    <row r="354" spans="1:16" s="4" customFormat="1" x14ac:dyDescent="0.25">
      <c r="A354" s="62" t="s">
        <v>1697</v>
      </c>
      <c r="B354" s="12">
        <v>9781137445513</v>
      </c>
      <c r="C354" s="13" t="s">
        <v>164</v>
      </c>
      <c r="D354" s="14" t="str">
        <f>HYPERLINK("http://www.springer.com/gp/book/9781137445513","Diplomacy")</f>
        <v>Diplomacy</v>
      </c>
      <c r="E354" s="20" t="s">
        <v>1162</v>
      </c>
      <c r="F354" s="15" t="s">
        <v>694</v>
      </c>
      <c r="G354" s="16" t="s">
        <v>1525</v>
      </c>
      <c r="H354" s="17">
        <v>1121</v>
      </c>
      <c r="I354" s="37">
        <v>20</v>
      </c>
      <c r="J354" s="59">
        <v>897</v>
      </c>
      <c r="K354" s="40">
        <v>34.99</v>
      </c>
      <c r="L354" s="41" t="s">
        <v>275</v>
      </c>
      <c r="M354" s="19" t="s">
        <v>273</v>
      </c>
      <c r="N354" s="21" t="s">
        <v>1682</v>
      </c>
      <c r="O354" s="15"/>
      <c r="P354" s="16"/>
    </row>
    <row r="355" spans="1:16" s="4" customFormat="1" x14ac:dyDescent="0.25">
      <c r="A355" s="62" t="s">
        <v>1697</v>
      </c>
      <c r="B355" s="12">
        <v>9780230110625</v>
      </c>
      <c r="C355" s="13" t="s">
        <v>1326</v>
      </c>
      <c r="D355" s="14" t="str">
        <f>HYPERLINK("http://www.springer.com/gp/book/9780230110625","Economic Instruments of Security Policy")</f>
        <v>Economic Instruments of Security Policy</v>
      </c>
      <c r="E355" s="20" t="s">
        <v>1327</v>
      </c>
      <c r="F355" s="15" t="s">
        <v>714</v>
      </c>
      <c r="G355" s="16" t="s">
        <v>1525</v>
      </c>
      <c r="H355" s="17">
        <v>1442</v>
      </c>
      <c r="I355" s="37">
        <v>25</v>
      </c>
      <c r="J355" s="59">
        <v>1082</v>
      </c>
      <c r="K355" s="40">
        <v>44.99</v>
      </c>
      <c r="L355" s="41" t="s">
        <v>275</v>
      </c>
      <c r="M355" s="19" t="s">
        <v>273</v>
      </c>
      <c r="N355" s="21" t="s">
        <v>1679</v>
      </c>
      <c r="O355" s="15"/>
      <c r="P355" s="16"/>
    </row>
    <row r="356" spans="1:16" s="4" customFormat="1" x14ac:dyDescent="0.25">
      <c r="A356" s="62" t="s">
        <v>1697</v>
      </c>
      <c r="B356" s="12">
        <v>9780230517981</v>
      </c>
      <c r="C356" s="13" t="s">
        <v>1339</v>
      </c>
      <c r="D356" s="14" t="str">
        <f>HYPERLINK("http://www.springer.com/gp/book/9780230517981","Europe: A Civilian Power?")</f>
        <v>Europe: A Civilian Power?</v>
      </c>
      <c r="E356" s="20" t="s">
        <v>1340</v>
      </c>
      <c r="F356" s="15" t="s">
        <v>917</v>
      </c>
      <c r="G356" s="16" t="s">
        <v>1525</v>
      </c>
      <c r="H356" s="17">
        <v>1282</v>
      </c>
      <c r="I356" s="38">
        <v>30</v>
      </c>
      <c r="J356" s="59">
        <v>897</v>
      </c>
      <c r="K356" s="40">
        <v>39.99</v>
      </c>
      <c r="L356" s="41" t="s">
        <v>275</v>
      </c>
      <c r="M356" s="19" t="s">
        <v>273</v>
      </c>
      <c r="N356" s="11"/>
      <c r="O356" s="15"/>
      <c r="P356" s="16"/>
    </row>
    <row r="357" spans="1:16" s="4" customFormat="1" x14ac:dyDescent="0.25">
      <c r="A357" s="62" t="s">
        <v>1697</v>
      </c>
      <c r="B357" s="12">
        <v>9780230282292</v>
      </c>
      <c r="C357" s="13" t="s">
        <v>1165</v>
      </c>
      <c r="D357" s="14" t="str">
        <f>HYPERLINK("http://www.springer.com/gp/book/9780230282292","European Union Foreign Policy")</f>
        <v>European Union Foreign Policy</v>
      </c>
      <c r="E357" s="20" t="s">
        <v>1166</v>
      </c>
      <c r="F357" s="15" t="s">
        <v>694</v>
      </c>
      <c r="G357" s="16" t="s">
        <v>1525</v>
      </c>
      <c r="H357" s="17">
        <v>3130</v>
      </c>
      <c r="I357" s="37">
        <v>20</v>
      </c>
      <c r="J357" s="59">
        <v>2504</v>
      </c>
      <c r="K357" s="40">
        <v>99.99</v>
      </c>
      <c r="L357" s="41" t="s">
        <v>275</v>
      </c>
      <c r="M357" s="26" t="s">
        <v>274</v>
      </c>
      <c r="N357" s="11"/>
      <c r="O357" s="15"/>
      <c r="P357" s="16"/>
    </row>
    <row r="358" spans="1:16" s="4" customFormat="1" x14ac:dyDescent="0.25">
      <c r="A358" s="62" t="s">
        <v>1697</v>
      </c>
      <c r="B358" s="12">
        <v>9780312296193</v>
      </c>
      <c r="C358" s="13" t="s">
        <v>1171</v>
      </c>
      <c r="D358" s="14" t="str">
        <f>HYPERLINK("http://www.springer.com/gp/book/9780312296193","Foreign Policy Analysis")</f>
        <v>Foreign Policy Analysis</v>
      </c>
      <c r="E358" s="20" t="s">
        <v>1172</v>
      </c>
      <c r="F358" s="15" t="s">
        <v>729</v>
      </c>
      <c r="G358" s="16" t="s">
        <v>1525</v>
      </c>
      <c r="H358" s="17">
        <v>3443</v>
      </c>
      <c r="I358" s="38">
        <v>30</v>
      </c>
      <c r="J358" s="59">
        <v>2410</v>
      </c>
      <c r="K358" s="40">
        <v>109.99</v>
      </c>
      <c r="L358" s="41" t="s">
        <v>275</v>
      </c>
      <c r="M358" s="26" t="s">
        <v>274</v>
      </c>
      <c r="N358" s="11"/>
      <c r="O358" s="15"/>
      <c r="P358" s="16"/>
    </row>
    <row r="359" spans="1:16" s="4" customFormat="1" x14ac:dyDescent="0.25">
      <c r="A359" s="62" t="s">
        <v>1697</v>
      </c>
      <c r="B359" s="12">
        <v>9780230537040</v>
      </c>
      <c r="C359" s="13" t="s">
        <v>1300</v>
      </c>
      <c r="D359" s="14" t="str">
        <f>HYPERLINK("http://www.springer.com/gp/book/9780230537040","Global Governance")</f>
        <v>Global Governance</v>
      </c>
      <c r="E359" s="20" t="s">
        <v>1301</v>
      </c>
      <c r="F359" s="15" t="s">
        <v>705</v>
      </c>
      <c r="G359" s="16" t="s">
        <v>1525</v>
      </c>
      <c r="H359" s="17">
        <v>3756</v>
      </c>
      <c r="I359" s="37">
        <v>25</v>
      </c>
      <c r="J359" s="59">
        <v>2817</v>
      </c>
      <c r="K359" s="40">
        <v>119.99</v>
      </c>
      <c r="L359" s="41" t="s">
        <v>275</v>
      </c>
      <c r="M359" s="26" t="s">
        <v>274</v>
      </c>
      <c r="N359" s="11"/>
      <c r="O359" s="15"/>
      <c r="P359" s="16"/>
    </row>
    <row r="360" spans="1:16" s="4" customFormat="1" x14ac:dyDescent="0.25">
      <c r="A360" s="62" t="s">
        <v>1697</v>
      </c>
      <c r="B360" s="12">
        <v>9780230205918</v>
      </c>
      <c r="C360" s="13" t="s">
        <v>1253</v>
      </c>
      <c r="D360" s="14" t="str">
        <f>HYPERLINK("http://www.springer.com/gp/book/9780230205918","Global Health Governance")</f>
        <v>Global Health Governance</v>
      </c>
      <c r="E360" s="20" t="s">
        <v>1254</v>
      </c>
      <c r="F360" s="15" t="s">
        <v>696</v>
      </c>
      <c r="G360" s="16" t="s">
        <v>1525</v>
      </c>
      <c r="H360" s="17">
        <v>3443</v>
      </c>
      <c r="I360" s="37">
        <v>25</v>
      </c>
      <c r="J360" s="59">
        <v>2582</v>
      </c>
      <c r="K360" s="40">
        <v>109.99</v>
      </c>
      <c r="L360" s="41" t="s">
        <v>275</v>
      </c>
      <c r="M360" s="26" t="s">
        <v>274</v>
      </c>
      <c r="N360" s="11"/>
      <c r="O360" s="15"/>
      <c r="P360" s="16"/>
    </row>
    <row r="361" spans="1:16" s="4" customFormat="1" x14ac:dyDescent="0.25">
      <c r="A361" s="62" t="s">
        <v>1697</v>
      </c>
      <c r="B361" s="12">
        <v>9780230604445</v>
      </c>
      <c r="C361" s="13" t="s">
        <v>1175</v>
      </c>
      <c r="D361" s="14" t="str">
        <f>HYPERLINK("http://www.springer.com/gp/book/9780230604445","Global Politics of Defense Reform")</f>
        <v>Global Politics of Defense Reform</v>
      </c>
      <c r="E361" s="20"/>
      <c r="F361" s="15" t="s">
        <v>705</v>
      </c>
      <c r="G361" s="16" t="s">
        <v>1525</v>
      </c>
      <c r="H361" s="17">
        <v>3130</v>
      </c>
      <c r="I361" s="37">
        <v>25</v>
      </c>
      <c r="J361" s="59">
        <v>2348</v>
      </c>
      <c r="K361" s="40">
        <v>99.99</v>
      </c>
      <c r="L361" s="41" t="s">
        <v>275</v>
      </c>
      <c r="M361" s="26" t="s">
        <v>274</v>
      </c>
      <c r="N361" s="11"/>
      <c r="O361" s="15"/>
      <c r="P361" s="16"/>
    </row>
    <row r="362" spans="1:16" s="4" customFormat="1" x14ac:dyDescent="0.25">
      <c r="A362" s="62" t="s">
        <v>1697</v>
      </c>
      <c r="B362" s="12">
        <v>9780230237711</v>
      </c>
      <c r="C362" s="13" t="s">
        <v>1273</v>
      </c>
      <c r="D362" s="14" t="str">
        <f>HYPERLINK("http://www.springer.com/gp/book/9780230237711","Global Warming and Climate Change")</f>
        <v>Global Warming and Climate Change</v>
      </c>
      <c r="E362" s="20" t="s">
        <v>1274</v>
      </c>
      <c r="F362" s="15" t="s">
        <v>688</v>
      </c>
      <c r="G362" s="16" t="s">
        <v>1525</v>
      </c>
      <c r="H362" s="17">
        <v>4069</v>
      </c>
      <c r="I362" s="37">
        <v>25</v>
      </c>
      <c r="J362" s="59">
        <v>3052</v>
      </c>
      <c r="K362" s="40">
        <v>129.99</v>
      </c>
      <c r="L362" s="41" t="s">
        <v>275</v>
      </c>
      <c r="M362" s="26" t="s">
        <v>274</v>
      </c>
      <c r="N362" s="11"/>
      <c r="O362" s="15"/>
      <c r="P362" s="16"/>
    </row>
    <row r="363" spans="1:16" s="4" customFormat="1" x14ac:dyDescent="0.25">
      <c r="A363" s="62" t="s">
        <v>1697</v>
      </c>
      <c r="B363" s="12">
        <v>9780230106918</v>
      </c>
      <c r="C363" s="13" t="s">
        <v>1288</v>
      </c>
      <c r="D363" s="14" t="str">
        <f>HYPERLINK("http://www.springer.com/gp/book/9780230106918","Globalization")</f>
        <v>Globalization</v>
      </c>
      <c r="E363" s="20" t="s">
        <v>1289</v>
      </c>
      <c r="F363" s="15" t="s">
        <v>688</v>
      </c>
      <c r="G363" s="16" t="s">
        <v>1525</v>
      </c>
      <c r="H363" s="17">
        <v>3130</v>
      </c>
      <c r="I363" s="37">
        <v>25</v>
      </c>
      <c r="J363" s="59">
        <v>2348</v>
      </c>
      <c r="K363" s="40">
        <v>99.99</v>
      </c>
      <c r="L363" s="41" t="s">
        <v>275</v>
      </c>
      <c r="M363" s="26" t="s">
        <v>274</v>
      </c>
      <c r="N363" s="11"/>
      <c r="O363" s="15"/>
      <c r="P363" s="16"/>
    </row>
    <row r="364" spans="1:16" s="4" customFormat="1" x14ac:dyDescent="0.25">
      <c r="A364" s="62" t="s">
        <v>1697</v>
      </c>
      <c r="B364" s="12">
        <v>9780230106994</v>
      </c>
      <c r="C364" s="13" t="s">
        <v>1288</v>
      </c>
      <c r="D364" s="14" t="str">
        <f>HYPERLINK("http://www.springer.com/gp/book/9780230106994","Globalization, War, and Peace in the Twenty-first Century")</f>
        <v>Globalization, War, and Peace in the Twenty-first Century</v>
      </c>
      <c r="E364" s="20"/>
      <c r="F364" s="15" t="s">
        <v>688</v>
      </c>
      <c r="G364" s="16" t="s">
        <v>1525</v>
      </c>
      <c r="H364" s="17">
        <v>3130</v>
      </c>
      <c r="I364" s="37">
        <v>25</v>
      </c>
      <c r="J364" s="59">
        <v>2348</v>
      </c>
      <c r="K364" s="40">
        <v>99.99</v>
      </c>
      <c r="L364" s="41" t="s">
        <v>275</v>
      </c>
      <c r="M364" s="26" t="s">
        <v>274</v>
      </c>
      <c r="N364" s="11"/>
      <c r="O364" s="15"/>
      <c r="P364" s="16"/>
    </row>
    <row r="365" spans="1:16" s="4" customFormat="1" x14ac:dyDescent="0.25">
      <c r="A365" s="62" t="s">
        <v>1697</v>
      </c>
      <c r="B365" s="12">
        <v>9780230236875</v>
      </c>
      <c r="C365" s="13" t="s">
        <v>1282</v>
      </c>
      <c r="D365" s="14" t="str">
        <f>HYPERLINK("http://www.springer.com/gp/book/9780230236875","Governing Risk")</f>
        <v>Governing Risk</v>
      </c>
      <c r="E365" s="20" t="s">
        <v>1283</v>
      </c>
      <c r="F365" s="15" t="s">
        <v>688</v>
      </c>
      <c r="G365" s="16" t="s">
        <v>1525</v>
      </c>
      <c r="H365" s="17">
        <v>2973</v>
      </c>
      <c r="I365" s="37">
        <v>25</v>
      </c>
      <c r="J365" s="59">
        <v>2230</v>
      </c>
      <c r="K365" s="40">
        <v>94.99</v>
      </c>
      <c r="L365" s="41" t="s">
        <v>275</v>
      </c>
      <c r="M365" s="26" t="s">
        <v>274</v>
      </c>
      <c r="N365" s="11"/>
      <c r="O365" s="15"/>
      <c r="P365" s="16"/>
    </row>
    <row r="366" spans="1:16" s="4" customFormat="1" x14ac:dyDescent="0.25">
      <c r="A366" s="62" t="s">
        <v>1697</v>
      </c>
      <c r="B366" s="12">
        <v>9781137475077</v>
      </c>
      <c r="C366" s="13" t="s">
        <v>1192</v>
      </c>
      <c r="D366" s="14" t="str">
        <f>HYPERLINK("http://www.springer.com/gp/book/9781137475077","How Global Institutions Rule the World")</f>
        <v>How Global Institutions Rule the World</v>
      </c>
      <c r="E366" s="20"/>
      <c r="F366" s="15" t="s">
        <v>708</v>
      </c>
      <c r="G366" s="16" t="s">
        <v>1525</v>
      </c>
      <c r="H366" s="17">
        <v>2817</v>
      </c>
      <c r="I366" s="37">
        <v>20</v>
      </c>
      <c r="J366" s="59">
        <v>2254</v>
      </c>
      <c r="K366" s="40">
        <v>89.99</v>
      </c>
      <c r="L366" s="41" t="s">
        <v>275</v>
      </c>
      <c r="M366" s="26" t="s">
        <v>274</v>
      </c>
      <c r="N366" s="11"/>
      <c r="O366" s="15"/>
      <c r="P366" s="16"/>
    </row>
    <row r="367" spans="1:16" s="4" customFormat="1" x14ac:dyDescent="0.25">
      <c r="A367" s="62" t="s">
        <v>1697</v>
      </c>
      <c r="B367" s="12">
        <v>9780230542211</v>
      </c>
      <c r="C367" s="13" t="s">
        <v>1222</v>
      </c>
      <c r="D367" s="14" t="str">
        <f>HYPERLINK("http://www.springer.com/gp/book/9780230542211","Humanitarian Intervention after Kosovo")</f>
        <v>Humanitarian Intervention after Kosovo</v>
      </c>
      <c r="E367" s="20" t="s">
        <v>1223</v>
      </c>
      <c r="F367" s="15" t="s">
        <v>705</v>
      </c>
      <c r="G367" s="16" t="s">
        <v>1525</v>
      </c>
      <c r="H367" s="17">
        <v>3130</v>
      </c>
      <c r="I367" s="37">
        <v>25</v>
      </c>
      <c r="J367" s="59">
        <v>2348</v>
      </c>
      <c r="K367" s="40">
        <v>99.99</v>
      </c>
      <c r="L367" s="41" t="s">
        <v>275</v>
      </c>
      <c r="M367" s="26" t="s">
        <v>274</v>
      </c>
      <c r="N367" s="11"/>
      <c r="O367" s="15"/>
      <c r="P367" s="16"/>
    </row>
    <row r="368" spans="1:16" s="4" customFormat="1" x14ac:dyDescent="0.25">
      <c r="A368" s="62" t="s">
        <v>1697</v>
      </c>
      <c r="B368" s="12">
        <v>9781403975836</v>
      </c>
      <c r="C368" s="13" t="s">
        <v>1209</v>
      </c>
      <c r="D368" s="14" t="str">
        <f>HYPERLINK("http://www.springer.com/gp/book/9781403975836","Challenges and Paths to Global Justice")</f>
        <v>Challenges and Paths to Global Justice</v>
      </c>
      <c r="E368" s="20"/>
      <c r="F368" s="15" t="s">
        <v>729</v>
      </c>
      <c r="G368" s="16" t="s">
        <v>1525</v>
      </c>
      <c r="H368" s="17">
        <v>2723</v>
      </c>
      <c r="I368" s="38">
        <v>30</v>
      </c>
      <c r="J368" s="59">
        <v>1906</v>
      </c>
      <c r="K368" s="40">
        <v>86.99</v>
      </c>
      <c r="L368" s="41" t="s">
        <v>275</v>
      </c>
      <c r="M368" s="26" t="s">
        <v>274</v>
      </c>
      <c r="N368" s="11"/>
      <c r="O368" s="15"/>
      <c r="P368" s="16"/>
    </row>
    <row r="369" spans="1:16" s="4" customFormat="1" x14ac:dyDescent="0.25">
      <c r="A369" s="62" t="s">
        <v>1697</v>
      </c>
      <c r="B369" s="12">
        <v>9780230241060</v>
      </c>
      <c r="C369" s="13" t="s">
        <v>1158</v>
      </c>
      <c r="D369" s="14" t="str">
        <f>HYPERLINK("http://www.springer.com/gp/book/9780230241060","International Diplomacy and the Olympic Movement")</f>
        <v>International Diplomacy and the Olympic Movement</v>
      </c>
      <c r="E369" s="20" t="s">
        <v>1159</v>
      </c>
      <c r="F369" s="15" t="s">
        <v>752</v>
      </c>
      <c r="G369" s="16" t="s">
        <v>1525</v>
      </c>
      <c r="H369" s="17">
        <v>2723</v>
      </c>
      <c r="I369" s="37">
        <v>20</v>
      </c>
      <c r="J369" s="59">
        <v>2178</v>
      </c>
      <c r="K369" s="40">
        <v>86.99</v>
      </c>
      <c r="L369" s="41" t="s">
        <v>275</v>
      </c>
      <c r="M369" s="26" t="s">
        <v>274</v>
      </c>
      <c r="N369" s="11"/>
      <c r="O369" s="15"/>
      <c r="P369" s="16"/>
    </row>
    <row r="370" spans="1:16" s="4" customFormat="1" x14ac:dyDescent="0.25">
      <c r="A370" s="62" t="s">
        <v>1697</v>
      </c>
      <c r="B370" s="12">
        <v>9781403902511</v>
      </c>
      <c r="C370" s="13" t="s">
        <v>1378</v>
      </c>
      <c r="D370" s="14" t="str">
        <f>HYPERLINK("http://www.springer.com/gp/book/9781403902511","International Migration and Sending Countries")</f>
        <v>International Migration and Sending Countries</v>
      </c>
      <c r="E370" s="20" t="s">
        <v>1379</v>
      </c>
      <c r="F370" s="15" t="s">
        <v>829</v>
      </c>
      <c r="G370" s="16" t="s">
        <v>1525</v>
      </c>
      <c r="H370" s="17">
        <v>4225</v>
      </c>
      <c r="I370" s="38">
        <v>30</v>
      </c>
      <c r="J370" s="59">
        <v>2958</v>
      </c>
      <c r="K370" s="40">
        <v>134.99</v>
      </c>
      <c r="L370" s="41" t="s">
        <v>275</v>
      </c>
      <c r="M370" s="26" t="s">
        <v>274</v>
      </c>
      <c r="N370" s="11"/>
      <c r="O370" s="15"/>
      <c r="P370" s="16"/>
    </row>
    <row r="371" spans="1:16" s="4" customFormat="1" x14ac:dyDescent="0.25">
      <c r="A371" s="62" t="s">
        <v>1697</v>
      </c>
      <c r="B371" s="12">
        <v>9781403949325</v>
      </c>
      <c r="C371" s="13" t="s">
        <v>1197</v>
      </c>
      <c r="D371" s="14" t="str">
        <f>HYPERLINK("http://www.springer.com/gp/book/9781403949325","International Political Economy and Poststructural Politics")</f>
        <v>International Political Economy and Poststructural Politics</v>
      </c>
      <c r="E371" s="20"/>
      <c r="F371" s="15" t="s">
        <v>917</v>
      </c>
      <c r="G371" s="16" t="s">
        <v>1525</v>
      </c>
      <c r="H371" s="17">
        <v>3756</v>
      </c>
      <c r="I371" s="38">
        <v>30</v>
      </c>
      <c r="J371" s="59">
        <v>2629</v>
      </c>
      <c r="K371" s="40">
        <v>119.99</v>
      </c>
      <c r="L371" s="41" t="s">
        <v>275</v>
      </c>
      <c r="M371" s="26" t="s">
        <v>274</v>
      </c>
      <c r="N371" s="11"/>
      <c r="O371" s="15"/>
      <c r="P371" s="16"/>
    </row>
    <row r="372" spans="1:16" s="4" customFormat="1" x14ac:dyDescent="0.25">
      <c r="A372" s="62" t="s">
        <v>1697</v>
      </c>
      <c r="B372" s="12">
        <v>9781403974624</v>
      </c>
      <c r="C372" s="13" t="s">
        <v>1237</v>
      </c>
      <c r="D372" s="14" t="str">
        <f>HYPERLINK("http://www.springer.com/gp/book/9781403974624","Interrogating Imperialism")</f>
        <v>Interrogating Imperialism</v>
      </c>
      <c r="E372" s="20" t="s">
        <v>1238</v>
      </c>
      <c r="F372" s="15" t="s">
        <v>917</v>
      </c>
      <c r="G372" s="16" t="s">
        <v>1525</v>
      </c>
      <c r="H372" s="17">
        <v>2723</v>
      </c>
      <c r="I372" s="38">
        <v>30</v>
      </c>
      <c r="J372" s="59">
        <v>1906</v>
      </c>
      <c r="K372" s="40">
        <v>86.99</v>
      </c>
      <c r="L372" s="41" t="s">
        <v>275</v>
      </c>
      <c r="M372" s="26" t="s">
        <v>274</v>
      </c>
      <c r="N372" s="11"/>
      <c r="O372" s="15"/>
      <c r="P372" s="16"/>
    </row>
    <row r="373" spans="1:16" s="4" customFormat="1" x14ac:dyDescent="0.25">
      <c r="A373" s="62" t="s">
        <v>1697</v>
      </c>
      <c r="B373" s="12">
        <v>9781137452566</v>
      </c>
      <c r="C373" s="13" t="s">
        <v>1240</v>
      </c>
      <c r="D373" s="14" t="str">
        <f>HYPERLINK("http://www.springer.com/gp/book/9781137452566","Justice and Foreign Rule")</f>
        <v>Justice and Foreign Rule</v>
      </c>
      <c r="E373" s="20" t="s">
        <v>1241</v>
      </c>
      <c r="F373" s="15" t="s">
        <v>708</v>
      </c>
      <c r="G373" s="16" t="s">
        <v>1525</v>
      </c>
      <c r="H373" s="17">
        <v>2563</v>
      </c>
      <c r="I373" s="37">
        <v>20</v>
      </c>
      <c r="J373" s="59">
        <v>2050</v>
      </c>
      <c r="K373" s="40">
        <v>79.989999999999995</v>
      </c>
      <c r="L373" s="41" t="s">
        <v>275</v>
      </c>
      <c r="M373" s="26" t="s">
        <v>274</v>
      </c>
      <c r="N373" s="11"/>
      <c r="O373" s="15"/>
      <c r="P373" s="16"/>
    </row>
    <row r="374" spans="1:16" s="4" customFormat="1" x14ac:dyDescent="0.25">
      <c r="A374" s="62" t="s">
        <v>1697</v>
      </c>
      <c r="B374" s="12">
        <v>9780230600423</v>
      </c>
      <c r="C374" s="13" t="s">
        <v>1146</v>
      </c>
      <c r="D374" s="14" t="str">
        <f>HYPERLINK("http://www.springer.com/gp/book/9780230600423","Justifying War?")</f>
        <v>Justifying War?</v>
      </c>
      <c r="E374" s="20" t="s">
        <v>1147</v>
      </c>
      <c r="F374" s="15" t="s">
        <v>705</v>
      </c>
      <c r="G374" s="16" t="s">
        <v>1525</v>
      </c>
      <c r="H374" s="17">
        <v>3130</v>
      </c>
      <c r="I374" s="37">
        <v>25</v>
      </c>
      <c r="J374" s="59">
        <v>2348</v>
      </c>
      <c r="K374" s="40">
        <v>99.99</v>
      </c>
      <c r="L374" s="41" t="s">
        <v>275</v>
      </c>
      <c r="M374" s="26" t="s">
        <v>274</v>
      </c>
      <c r="N374" s="11"/>
      <c r="O374" s="15"/>
      <c r="P374" s="16"/>
    </row>
    <row r="375" spans="1:16" s="4" customFormat="1" x14ac:dyDescent="0.25">
      <c r="A375" s="62" t="s">
        <v>1697</v>
      </c>
      <c r="B375" s="12">
        <v>9780230116528</v>
      </c>
      <c r="C375" s="13" t="s">
        <v>94</v>
      </c>
      <c r="D375" s="14" t="str">
        <f>HYPERLINK("http://www.springer.com/gp/book/9780230116528","Making Peace")</f>
        <v>Making Peace</v>
      </c>
      <c r="E375" s="20" t="s">
        <v>1199</v>
      </c>
      <c r="F375" s="15" t="s">
        <v>714</v>
      </c>
      <c r="G375" s="16" t="s">
        <v>1525</v>
      </c>
      <c r="H375" s="17">
        <v>2817</v>
      </c>
      <c r="I375" s="37">
        <v>25</v>
      </c>
      <c r="J375" s="59">
        <v>2113</v>
      </c>
      <c r="K375" s="40">
        <v>89.99</v>
      </c>
      <c r="L375" s="41" t="s">
        <v>275</v>
      </c>
      <c r="M375" s="26" t="s">
        <v>274</v>
      </c>
      <c r="N375" s="11"/>
      <c r="O375" s="15"/>
      <c r="P375" s="16"/>
    </row>
    <row r="376" spans="1:16" s="4" customFormat="1" x14ac:dyDescent="0.25">
      <c r="A376" s="62" t="s">
        <v>1697</v>
      </c>
      <c r="B376" s="12">
        <v>9780230233294</v>
      </c>
      <c r="C376" s="13" t="s">
        <v>1143</v>
      </c>
      <c r="D376" s="14" t="str">
        <f>HYPERLINK("http://www.springer.com/gp/book/9780230233294","New Systems Theories of World Politics")</f>
        <v>New Systems Theories of World Politics</v>
      </c>
      <c r="E376" s="20"/>
      <c r="F376" s="15" t="s">
        <v>688</v>
      </c>
      <c r="G376" s="16" t="s">
        <v>1525</v>
      </c>
      <c r="H376" s="17">
        <v>3286</v>
      </c>
      <c r="I376" s="37">
        <v>25</v>
      </c>
      <c r="J376" s="59">
        <v>2465</v>
      </c>
      <c r="K376" s="40">
        <v>104.99</v>
      </c>
      <c r="L376" s="41" t="s">
        <v>275</v>
      </c>
      <c r="M376" s="26" t="s">
        <v>274</v>
      </c>
      <c r="N376" s="11"/>
      <c r="O376" s="15"/>
      <c r="P376" s="16"/>
    </row>
    <row r="377" spans="1:16" s="4" customFormat="1" x14ac:dyDescent="0.25">
      <c r="A377" s="62" t="s">
        <v>1697</v>
      </c>
      <c r="B377" s="12">
        <v>9780230201347</v>
      </c>
      <c r="C377" s="13" t="s">
        <v>1152</v>
      </c>
      <c r="D377" s="14" t="str">
        <f>HYPERLINK("http://www.springer.com/gp/book/9780230201347","Non-Governmental Human Rights Organizations in International Relations")</f>
        <v>Non-Governmental Human Rights Organizations in International Relations</v>
      </c>
      <c r="E377" s="20"/>
      <c r="F377" s="15" t="s">
        <v>696</v>
      </c>
      <c r="G377" s="16" t="s">
        <v>1525</v>
      </c>
      <c r="H377" s="17">
        <v>3130</v>
      </c>
      <c r="I377" s="37">
        <v>25</v>
      </c>
      <c r="J377" s="59">
        <v>2348</v>
      </c>
      <c r="K377" s="40">
        <v>99.99</v>
      </c>
      <c r="L377" s="41" t="s">
        <v>275</v>
      </c>
      <c r="M377" s="26" t="s">
        <v>274</v>
      </c>
      <c r="N377" s="11"/>
      <c r="O377" s="15"/>
      <c r="P377" s="16"/>
    </row>
    <row r="378" spans="1:16" s="4" customFormat="1" x14ac:dyDescent="0.25">
      <c r="A378" s="62" t="s">
        <v>1697</v>
      </c>
      <c r="B378" s="12">
        <v>9780230577640</v>
      </c>
      <c r="C378" s="13" t="s">
        <v>1365</v>
      </c>
      <c r="D378" s="14" t="str">
        <f>HYPERLINK("http://www.springer.com/gp/book/9780230577640","Normative Power Europe")</f>
        <v>Normative Power Europe</v>
      </c>
      <c r="E378" s="20" t="s">
        <v>1367</v>
      </c>
      <c r="F378" s="15" t="s">
        <v>714</v>
      </c>
      <c r="G378" s="16" t="s">
        <v>1525</v>
      </c>
      <c r="H378" s="17">
        <v>3130</v>
      </c>
      <c r="I378" s="37">
        <v>25</v>
      </c>
      <c r="J378" s="59">
        <v>2348</v>
      </c>
      <c r="K378" s="40">
        <v>99.99</v>
      </c>
      <c r="L378" s="41" t="s">
        <v>275</v>
      </c>
      <c r="M378" s="26" t="s">
        <v>274</v>
      </c>
      <c r="N378" s="11"/>
      <c r="O378" s="15"/>
      <c r="P378" s="16"/>
    </row>
    <row r="379" spans="1:16" s="4" customFormat="1" x14ac:dyDescent="0.25">
      <c r="A379" s="62" t="s">
        <v>1697</v>
      </c>
      <c r="B379" s="12">
        <v>9780230555228</v>
      </c>
      <c r="C379" s="13" t="s">
        <v>1306</v>
      </c>
      <c r="D379" s="14" t="str">
        <f>HYPERLINK("http://www.springer.com/gp/book/9780230555228","Palgrave Advances in Peacebuilding")</f>
        <v>Palgrave Advances in Peacebuilding</v>
      </c>
      <c r="E379" s="20" t="s">
        <v>1307</v>
      </c>
      <c r="F379" s="15" t="s">
        <v>688</v>
      </c>
      <c r="G379" s="16" t="s">
        <v>1525</v>
      </c>
      <c r="H379" s="17">
        <v>4069</v>
      </c>
      <c r="I379" s="37">
        <v>25</v>
      </c>
      <c r="J379" s="59">
        <v>3052</v>
      </c>
      <c r="K379" s="40">
        <v>129.99</v>
      </c>
      <c r="L379" s="41" t="s">
        <v>275</v>
      </c>
      <c r="M379" s="26" t="s">
        <v>274</v>
      </c>
      <c r="N379" s="11"/>
      <c r="O379" s="15"/>
      <c r="P379" s="16"/>
    </row>
    <row r="380" spans="1:16" s="4" customFormat="1" x14ac:dyDescent="0.25">
      <c r="A380" s="62" t="s">
        <v>1697</v>
      </c>
      <c r="B380" s="12">
        <v>9780230220065</v>
      </c>
      <c r="C380" s="13" t="s">
        <v>1271</v>
      </c>
      <c r="D380" s="14" t="str">
        <f>HYPERLINK("http://www.springer.com/gp/book/9780230220065","Promoting Democracy and the Rule of Law")</f>
        <v>Promoting Democracy and the Rule of Law</v>
      </c>
      <c r="E380" s="20" t="s">
        <v>1272</v>
      </c>
      <c r="F380" s="15" t="s">
        <v>700</v>
      </c>
      <c r="G380" s="16" t="s">
        <v>1525</v>
      </c>
      <c r="H380" s="17">
        <v>3443</v>
      </c>
      <c r="I380" s="37">
        <v>20</v>
      </c>
      <c r="J380" s="59">
        <v>2754</v>
      </c>
      <c r="K380" s="40">
        <v>109.99</v>
      </c>
      <c r="L380" s="41" t="s">
        <v>275</v>
      </c>
      <c r="M380" s="26" t="s">
        <v>274</v>
      </c>
      <c r="N380" s="11"/>
      <c r="O380" s="15"/>
      <c r="P380" s="16"/>
    </row>
    <row r="381" spans="1:16" s="4" customFormat="1" x14ac:dyDescent="0.25">
      <c r="A381" s="62" t="s">
        <v>1697</v>
      </c>
      <c r="B381" s="12">
        <v>9780230241756</v>
      </c>
      <c r="C381" s="13" t="s">
        <v>1257</v>
      </c>
      <c r="D381" s="14" t="str">
        <f>HYPERLINK("http://www.springer.com/gp/book/9780230241756","Qualitative Methods in International Relations")</f>
        <v>Qualitative Methods in International Relations</v>
      </c>
      <c r="E381" s="20" t="s">
        <v>1258</v>
      </c>
      <c r="F381" s="15" t="s">
        <v>705</v>
      </c>
      <c r="G381" s="16" t="s">
        <v>1525</v>
      </c>
      <c r="H381" s="17">
        <v>1121</v>
      </c>
      <c r="I381" s="37">
        <v>25</v>
      </c>
      <c r="J381" s="59">
        <v>841</v>
      </c>
      <c r="K381" s="40">
        <v>34.99</v>
      </c>
      <c r="L381" s="41" t="s">
        <v>275</v>
      </c>
      <c r="M381" s="19" t="s">
        <v>273</v>
      </c>
      <c r="N381" s="11"/>
      <c r="O381" s="15"/>
      <c r="P381" s="16"/>
    </row>
    <row r="382" spans="1:16" s="4" customFormat="1" x14ac:dyDescent="0.25">
      <c r="A382" s="62" t="s">
        <v>1697</v>
      </c>
      <c r="B382" s="12">
        <v>9780230542396</v>
      </c>
      <c r="C382" s="13" t="s">
        <v>1257</v>
      </c>
      <c r="D382" s="14" t="str">
        <f>HYPERLINK("http://www.springer.com/gp/book/9780230542396","Qualitative Methods in International Relations")</f>
        <v>Qualitative Methods in International Relations</v>
      </c>
      <c r="E382" s="20" t="s">
        <v>1258</v>
      </c>
      <c r="F382" s="15" t="s">
        <v>705</v>
      </c>
      <c r="G382" s="16" t="s">
        <v>1525</v>
      </c>
      <c r="H382" s="17">
        <v>3286</v>
      </c>
      <c r="I382" s="37">
        <v>25</v>
      </c>
      <c r="J382" s="59">
        <v>2465</v>
      </c>
      <c r="K382" s="40">
        <v>104.99</v>
      </c>
      <c r="L382" s="41" t="s">
        <v>275</v>
      </c>
      <c r="M382" s="26" t="s">
        <v>274</v>
      </c>
      <c r="N382" s="11"/>
      <c r="O382" s="15"/>
      <c r="P382" s="16"/>
    </row>
    <row r="383" spans="1:16" s="4" customFormat="1" x14ac:dyDescent="0.25">
      <c r="A383" s="62" t="s">
        <v>1697</v>
      </c>
      <c r="B383" s="12">
        <v>9780230200081</v>
      </c>
      <c r="C383" s="13" t="s">
        <v>1227</v>
      </c>
      <c r="D383" s="14" t="str">
        <f>HYPERLINK("http://www.springer.com/gp/book/9780230200081","Re-Imagining the War on Terror")</f>
        <v>Re-Imagining the War on Terror</v>
      </c>
      <c r="E383" s="20" t="s">
        <v>1228</v>
      </c>
      <c r="F383" s="15" t="s">
        <v>696</v>
      </c>
      <c r="G383" s="16" t="s">
        <v>1525</v>
      </c>
      <c r="H383" s="17">
        <v>3130</v>
      </c>
      <c r="I383" s="37">
        <v>25</v>
      </c>
      <c r="J383" s="59">
        <v>2348</v>
      </c>
      <c r="K383" s="40">
        <v>99.99</v>
      </c>
      <c r="L383" s="41" t="s">
        <v>275</v>
      </c>
      <c r="M383" s="26" t="s">
        <v>274</v>
      </c>
      <c r="N383" s="11"/>
      <c r="O383" s="15"/>
      <c r="P383" s="16"/>
    </row>
    <row r="384" spans="1:16" s="4" customFormat="1" x14ac:dyDescent="0.25">
      <c r="A384" s="62" t="s">
        <v>1697</v>
      </c>
      <c r="B384" s="12">
        <v>9781403963154</v>
      </c>
      <c r="C384" s="13" t="s">
        <v>1235</v>
      </c>
      <c r="D384" s="14" t="str">
        <f>HYPERLINK("http://www.springer.com/gp/book/9781403963154","Reinventing the Alliance")</f>
        <v>Reinventing the Alliance</v>
      </c>
      <c r="E384" s="20" t="s">
        <v>1236</v>
      </c>
      <c r="F384" s="15" t="s">
        <v>829</v>
      </c>
      <c r="G384" s="16" t="s">
        <v>1525</v>
      </c>
      <c r="H384" s="17">
        <v>3130</v>
      </c>
      <c r="I384" s="38">
        <v>30</v>
      </c>
      <c r="J384" s="59">
        <v>2191</v>
      </c>
      <c r="K384" s="40">
        <v>99.99</v>
      </c>
      <c r="L384" s="41" t="s">
        <v>275</v>
      </c>
      <c r="M384" s="26" t="s">
        <v>274</v>
      </c>
      <c r="N384" s="11"/>
      <c r="O384" s="15"/>
      <c r="P384" s="16"/>
    </row>
    <row r="385" spans="1:16" s="4" customFormat="1" x14ac:dyDescent="0.25">
      <c r="A385" s="62" t="s">
        <v>1697</v>
      </c>
      <c r="B385" s="12">
        <v>9780230104624</v>
      </c>
      <c r="C385" s="13" t="s">
        <v>1144</v>
      </c>
      <c r="D385" s="14" t="str">
        <f>HYPERLINK("http://www.springer.com/gp/book/9780230104624","Religion and Ethics in a Globalizing World")</f>
        <v>Religion and Ethics in a Globalizing World</v>
      </c>
      <c r="E385" s="20" t="s">
        <v>1145</v>
      </c>
      <c r="F385" s="15" t="s">
        <v>714</v>
      </c>
      <c r="G385" s="16" t="s">
        <v>1525</v>
      </c>
      <c r="H385" s="17">
        <v>3130</v>
      </c>
      <c r="I385" s="37">
        <v>25</v>
      </c>
      <c r="J385" s="59">
        <v>2348</v>
      </c>
      <c r="K385" s="40">
        <v>99.99</v>
      </c>
      <c r="L385" s="41" t="s">
        <v>275</v>
      </c>
      <c r="M385" s="26" t="s">
        <v>274</v>
      </c>
      <c r="N385" s="11"/>
      <c r="O385" s="15"/>
      <c r="P385" s="16"/>
    </row>
    <row r="386" spans="1:16" s="4" customFormat="1" x14ac:dyDescent="0.25">
      <c r="A386" s="62" t="s">
        <v>1697</v>
      </c>
      <c r="B386" s="12">
        <v>9780230240063</v>
      </c>
      <c r="C386" s="13" t="s">
        <v>1249</v>
      </c>
      <c r="D386" s="14" t="str">
        <f>HYPERLINK("http://www.springer.com/gp/book/9780230240063","Scientific Realism and International Relations")</f>
        <v>Scientific Realism and International Relations</v>
      </c>
      <c r="E386" s="20"/>
      <c r="F386" s="15" t="s">
        <v>688</v>
      </c>
      <c r="G386" s="16" t="s">
        <v>1525</v>
      </c>
      <c r="H386" s="17">
        <v>3130</v>
      </c>
      <c r="I386" s="37">
        <v>25</v>
      </c>
      <c r="J386" s="59">
        <v>2348</v>
      </c>
      <c r="K386" s="40">
        <v>99.99</v>
      </c>
      <c r="L386" s="41" t="s">
        <v>275</v>
      </c>
      <c r="M386" s="26" t="s">
        <v>274</v>
      </c>
      <c r="N386" s="11"/>
      <c r="O386" s="15"/>
      <c r="P386" s="16"/>
    </row>
    <row r="387" spans="1:16" s="4" customFormat="1" x14ac:dyDescent="0.25">
      <c r="A387" s="62" t="s">
        <v>1697</v>
      </c>
      <c r="B387" s="12">
        <v>9780230200067</v>
      </c>
      <c r="C387" s="13" t="s">
        <v>1376</v>
      </c>
      <c r="D387" s="14" t="str">
        <f>HYPERLINK("http://www.springer.com/gp/book/9780230200067","Securitizing Immigration")</f>
        <v>Securitizing Immigration</v>
      </c>
      <c r="E387" s="20" t="s">
        <v>1377</v>
      </c>
      <c r="F387" s="15" t="s">
        <v>696</v>
      </c>
      <c r="G387" s="16" t="s">
        <v>1525</v>
      </c>
      <c r="H387" s="17">
        <v>2973</v>
      </c>
      <c r="I387" s="37">
        <v>25</v>
      </c>
      <c r="J387" s="59">
        <v>2230</v>
      </c>
      <c r="K387" s="40">
        <v>94.99</v>
      </c>
      <c r="L387" s="41" t="s">
        <v>275</v>
      </c>
      <c r="M387" s="26" t="s">
        <v>274</v>
      </c>
      <c r="N387" s="11"/>
      <c r="O387" s="15"/>
      <c r="P387" s="16"/>
    </row>
    <row r="388" spans="1:16" s="4" customFormat="1" x14ac:dyDescent="0.25">
      <c r="A388" s="62" t="s">
        <v>1697</v>
      </c>
      <c r="B388" s="12">
        <v>9780333713723</v>
      </c>
      <c r="C388" s="13" t="s">
        <v>1369</v>
      </c>
      <c r="D388" s="14" t="str">
        <f>HYPERLINK("http://www.springer.com/gp/book/9780333713723","Security Intelligence Services in New Democracies")</f>
        <v>Security Intelligence Services in New Democracies</v>
      </c>
      <c r="E388" s="20" t="s">
        <v>1370</v>
      </c>
      <c r="F388" s="15" t="s">
        <v>1371</v>
      </c>
      <c r="G388" s="16" t="s">
        <v>1525</v>
      </c>
      <c r="H388" s="17">
        <v>3756</v>
      </c>
      <c r="I388" s="38">
        <v>30</v>
      </c>
      <c r="J388" s="59">
        <v>2629</v>
      </c>
      <c r="K388" s="40">
        <v>119.99</v>
      </c>
      <c r="L388" s="41" t="s">
        <v>275</v>
      </c>
      <c r="M388" s="26" t="s">
        <v>274</v>
      </c>
      <c r="N388" s="11"/>
      <c r="O388" s="15"/>
      <c r="P388" s="16"/>
    </row>
    <row r="389" spans="1:16" s="4" customFormat="1" x14ac:dyDescent="0.25">
      <c r="A389" s="62" t="s">
        <v>1697</v>
      </c>
      <c r="B389" s="12">
        <v>9780230336780</v>
      </c>
      <c r="C389" s="13" t="s">
        <v>1344</v>
      </c>
      <c r="D389" s="14" t="str">
        <f>HYPERLINK("http://www.springer.com/gp/book/9780230336780","The European Union as a Small Power")</f>
        <v>The European Union as a Small Power</v>
      </c>
      <c r="E389" s="20" t="s">
        <v>1345</v>
      </c>
      <c r="F389" s="15" t="s">
        <v>714</v>
      </c>
      <c r="G389" s="16" t="s">
        <v>1525</v>
      </c>
      <c r="H389" s="17">
        <v>1282</v>
      </c>
      <c r="I389" s="37">
        <v>25</v>
      </c>
      <c r="J389" s="59">
        <v>962</v>
      </c>
      <c r="K389" s="40">
        <v>39.99</v>
      </c>
      <c r="L389" s="41" t="s">
        <v>275</v>
      </c>
      <c r="M389" s="19" t="s">
        <v>273</v>
      </c>
      <c r="N389" s="11"/>
      <c r="O389" s="15"/>
      <c r="P389" s="16"/>
    </row>
    <row r="390" spans="1:16" s="4" customFormat="1" x14ac:dyDescent="0.25">
      <c r="A390" s="62" t="s">
        <v>1697</v>
      </c>
      <c r="B390" s="12">
        <v>9780333734070</v>
      </c>
      <c r="C390" s="13" t="s">
        <v>1202</v>
      </c>
      <c r="D390" s="14" t="str">
        <f>HYPERLINK("http://www.springer.com/gp/book/9780333734070","The Changing Face of Maritime Power")</f>
        <v>The Changing Face of Maritime Power</v>
      </c>
      <c r="E390" s="20"/>
      <c r="F390" s="15" t="s">
        <v>1139</v>
      </c>
      <c r="G390" s="16" t="s">
        <v>1525</v>
      </c>
      <c r="H390" s="17">
        <v>5634</v>
      </c>
      <c r="I390" s="38">
        <v>30</v>
      </c>
      <c r="J390" s="59">
        <v>3944</v>
      </c>
      <c r="K390" s="40">
        <v>179.99</v>
      </c>
      <c r="L390" s="41" t="s">
        <v>275</v>
      </c>
      <c r="M390" s="26" t="s">
        <v>274</v>
      </c>
      <c r="N390" s="11"/>
      <c r="O390" s="15"/>
      <c r="P390" s="16"/>
    </row>
    <row r="391" spans="1:16" s="4" customFormat="1" x14ac:dyDescent="0.25">
      <c r="A391" s="62" t="s">
        <v>1697</v>
      </c>
      <c r="B391" s="12">
        <v>9780230607637</v>
      </c>
      <c r="C391" s="13" t="s">
        <v>757</v>
      </c>
      <c r="D391" s="14" t="str">
        <f>HYPERLINK("http://www.springer.com/gp/book/9780230607637","The Impact of 9/11 on Politics and War")</f>
        <v>The Impact of 9/11 on Politics and War</v>
      </c>
      <c r="E391" s="20" t="s">
        <v>758</v>
      </c>
      <c r="F391" s="15" t="s">
        <v>696</v>
      </c>
      <c r="G391" s="16" t="s">
        <v>1525</v>
      </c>
      <c r="H391" s="17">
        <v>3443</v>
      </c>
      <c r="I391" s="37">
        <v>25</v>
      </c>
      <c r="J391" s="59">
        <v>2582</v>
      </c>
      <c r="K391" s="40">
        <v>109.99</v>
      </c>
      <c r="L391" s="41" t="s">
        <v>275</v>
      </c>
      <c r="M391" s="26" t="s">
        <v>274</v>
      </c>
      <c r="N391" s="11"/>
      <c r="O391" s="15"/>
      <c r="P391" s="16"/>
    </row>
    <row r="392" spans="1:16" s="4" customFormat="1" x14ac:dyDescent="0.25">
      <c r="A392" s="62" t="s">
        <v>1697</v>
      </c>
      <c r="B392" s="12">
        <v>9780230110960</v>
      </c>
      <c r="C392" s="13" t="s">
        <v>1224</v>
      </c>
      <c r="D392" s="14" t="str">
        <f>HYPERLINK("http://www.springer.com/gp/book/9780230110960","The Impact of Expansion on European Union Institutions")</f>
        <v>The Impact of Expansion on European Union Institutions</v>
      </c>
      <c r="E392" s="20" t="s">
        <v>1225</v>
      </c>
      <c r="F392" s="15" t="s">
        <v>714</v>
      </c>
      <c r="G392" s="16" t="s">
        <v>1525</v>
      </c>
      <c r="H392" s="17">
        <v>3130</v>
      </c>
      <c r="I392" s="37">
        <v>25</v>
      </c>
      <c r="J392" s="59">
        <v>2348</v>
      </c>
      <c r="K392" s="40">
        <v>99.99</v>
      </c>
      <c r="L392" s="41" t="s">
        <v>275</v>
      </c>
      <c r="M392" s="26" t="s">
        <v>274</v>
      </c>
      <c r="N392" s="11"/>
      <c r="O392" s="15"/>
      <c r="P392" s="16"/>
    </row>
    <row r="393" spans="1:16" s="4" customFormat="1" x14ac:dyDescent="0.25">
      <c r="A393" s="62" t="s">
        <v>1697</v>
      </c>
      <c r="B393" s="12">
        <v>9780230547100</v>
      </c>
      <c r="C393" s="13" t="s">
        <v>1173</v>
      </c>
      <c r="D393" s="14" t="str">
        <f>HYPERLINK("http://www.springer.com/gp/book/9780230547100","The New Politics of Conflict Resolution")</f>
        <v>The New Politics of Conflict Resolution</v>
      </c>
      <c r="E393" s="20" t="s">
        <v>1174</v>
      </c>
      <c r="F393" s="15" t="s">
        <v>705</v>
      </c>
      <c r="G393" s="16" t="s">
        <v>1525</v>
      </c>
      <c r="H393" s="17">
        <v>3130</v>
      </c>
      <c r="I393" s="37">
        <v>25</v>
      </c>
      <c r="J393" s="59">
        <v>2348</v>
      </c>
      <c r="K393" s="40">
        <v>99.99</v>
      </c>
      <c r="L393" s="41" t="s">
        <v>275</v>
      </c>
      <c r="M393" s="26" t="s">
        <v>274</v>
      </c>
      <c r="N393" s="11"/>
      <c r="O393" s="15"/>
      <c r="P393" s="16"/>
    </row>
    <row r="394" spans="1:16" s="4" customFormat="1" x14ac:dyDescent="0.25">
      <c r="A394" s="62" t="s">
        <v>1697</v>
      </c>
      <c r="B394" s="12">
        <v>9781137453235</v>
      </c>
      <c r="C394" s="13" t="s">
        <v>1200</v>
      </c>
      <c r="D394" s="14" t="str">
        <f>HYPERLINK("http://www.springer.com/gp/book/9781137453235","The Palgrave International Handbook of Peace Studies")</f>
        <v>The Palgrave International Handbook of Peace Studies</v>
      </c>
      <c r="E394" s="20" t="s">
        <v>1201</v>
      </c>
      <c r="F394" s="15" t="s">
        <v>714</v>
      </c>
      <c r="G394" s="16" t="s">
        <v>1525</v>
      </c>
      <c r="H394" s="17">
        <v>1602</v>
      </c>
      <c r="I394" s="37">
        <v>25</v>
      </c>
      <c r="J394" s="59">
        <v>1202</v>
      </c>
      <c r="K394" s="40">
        <v>49.99</v>
      </c>
      <c r="L394" s="41" t="s">
        <v>275</v>
      </c>
      <c r="M394" s="19" t="s">
        <v>273</v>
      </c>
      <c r="N394" s="11"/>
      <c r="O394" s="15"/>
      <c r="P394" s="16"/>
    </row>
    <row r="395" spans="1:16" s="4" customFormat="1" x14ac:dyDescent="0.25">
      <c r="A395" s="62" t="s">
        <v>1697</v>
      </c>
      <c r="B395" s="12">
        <v>9780230302983</v>
      </c>
      <c r="C395" s="13" t="s">
        <v>164</v>
      </c>
      <c r="D395" s="14" t="str">
        <f>HYPERLINK("http://www.springer.com/gp/book/9780230302983","The Palgrave Macmillan Dictionary of Diplomacy")</f>
        <v>The Palgrave Macmillan Dictionary of Diplomacy</v>
      </c>
      <c r="E395" s="20"/>
      <c r="F395" s="15" t="s">
        <v>752</v>
      </c>
      <c r="G395" s="16" t="s">
        <v>1525</v>
      </c>
      <c r="H395" s="17">
        <v>3443</v>
      </c>
      <c r="I395" s="37">
        <v>20</v>
      </c>
      <c r="J395" s="59">
        <v>2754</v>
      </c>
      <c r="K395" s="40">
        <v>109.99</v>
      </c>
      <c r="L395" s="41" t="s">
        <v>275</v>
      </c>
      <c r="M395" s="26" t="s">
        <v>274</v>
      </c>
      <c r="N395" s="21" t="s">
        <v>1680</v>
      </c>
      <c r="O395" s="15"/>
      <c r="P395" s="16"/>
    </row>
    <row r="396" spans="1:16" s="4" customFormat="1" x14ac:dyDescent="0.25">
      <c r="A396" s="62" t="s">
        <v>1697</v>
      </c>
      <c r="B396" s="12">
        <v>9781137012593</v>
      </c>
      <c r="C396" s="13" t="s">
        <v>1277</v>
      </c>
      <c r="D396" s="14" t="str">
        <f>HYPERLINK("http://www.springer.com/gp/book/9781137012593","The Politico-Military Dynamics of European Crisis Response Operations")</f>
        <v>The Politico-Military Dynamics of European Crisis Response Operations</v>
      </c>
      <c r="E396" s="20" t="s">
        <v>1278</v>
      </c>
      <c r="F396" s="15" t="s">
        <v>700</v>
      </c>
      <c r="G396" s="16" t="s">
        <v>1525</v>
      </c>
      <c r="H396" s="17">
        <v>2660</v>
      </c>
      <c r="I396" s="37">
        <v>20</v>
      </c>
      <c r="J396" s="59">
        <v>2128</v>
      </c>
      <c r="K396" s="40">
        <v>84.99</v>
      </c>
      <c r="L396" s="41" t="s">
        <v>275</v>
      </c>
      <c r="M396" s="26" t="s">
        <v>274</v>
      </c>
      <c r="N396" s="11"/>
      <c r="O396" s="15"/>
      <c r="P396" s="16"/>
    </row>
    <row r="397" spans="1:16" s="4" customFormat="1" x14ac:dyDescent="0.25">
      <c r="A397" s="62" t="s">
        <v>1697</v>
      </c>
      <c r="B397" s="12">
        <v>9780230202986</v>
      </c>
      <c r="C397" s="13" t="s">
        <v>1330</v>
      </c>
      <c r="D397" s="14" t="str">
        <f>HYPERLINK("http://www.springer.com/gp/book/9780230202986","The Rise and Fall of Privatization in the Russian Oil Industry")</f>
        <v>The Rise and Fall of Privatization in the Russian Oil Industry</v>
      </c>
      <c r="E397" s="20"/>
      <c r="F397" s="15" t="s">
        <v>705</v>
      </c>
      <c r="G397" s="16" t="s">
        <v>1525</v>
      </c>
      <c r="H397" s="17">
        <v>3130</v>
      </c>
      <c r="I397" s="37">
        <v>25</v>
      </c>
      <c r="J397" s="59">
        <v>2348</v>
      </c>
      <c r="K397" s="40">
        <v>99.99</v>
      </c>
      <c r="L397" s="41" t="s">
        <v>275</v>
      </c>
      <c r="M397" s="26" t="s">
        <v>274</v>
      </c>
      <c r="N397" s="11"/>
      <c r="O397" s="15"/>
      <c r="P397" s="16"/>
    </row>
    <row r="398" spans="1:16" s="4" customFormat="1" x14ac:dyDescent="0.25">
      <c r="A398" s="62" t="s">
        <v>1697</v>
      </c>
      <c r="B398" s="12">
        <v>9780230251816</v>
      </c>
      <c r="C398" s="13" t="s">
        <v>1239</v>
      </c>
      <c r="D398" s="14" t="str">
        <f>HYPERLINK("http://www.springer.com/gp/book/9780230251816","War and the Transformation of Global Politics")</f>
        <v>War and the Transformation of Global Politics</v>
      </c>
      <c r="E398" s="20"/>
      <c r="F398" s="15" t="s">
        <v>729</v>
      </c>
      <c r="G398" s="16" t="s">
        <v>1525</v>
      </c>
      <c r="H398" s="17">
        <v>1121</v>
      </c>
      <c r="I398" s="38">
        <v>30</v>
      </c>
      <c r="J398" s="59">
        <v>785</v>
      </c>
      <c r="K398" s="40">
        <v>34.99</v>
      </c>
      <c r="L398" s="41" t="s">
        <v>275</v>
      </c>
      <c r="M398" s="19" t="s">
        <v>273</v>
      </c>
      <c r="N398" s="11"/>
      <c r="O398" s="15"/>
      <c r="P398" s="16"/>
    </row>
    <row r="399" spans="1:16" s="4" customFormat="1" x14ac:dyDescent="0.25">
      <c r="A399" s="62" t="s">
        <v>1697</v>
      </c>
      <c r="B399" s="12">
        <v>9780230221079</v>
      </c>
      <c r="C399" s="13" t="s">
        <v>1319</v>
      </c>
      <c r="D399" s="14" t="str">
        <f>HYPERLINK("http://www.springer.com/gp/book/9780230221079","World Orders, Development and Transformation")</f>
        <v>World Orders, Development and Transformation</v>
      </c>
      <c r="E399" s="20"/>
      <c r="F399" s="15" t="s">
        <v>688</v>
      </c>
      <c r="G399" s="16" t="s">
        <v>1525</v>
      </c>
      <c r="H399" s="17">
        <v>3286</v>
      </c>
      <c r="I399" s="37">
        <v>25</v>
      </c>
      <c r="J399" s="59">
        <v>2465</v>
      </c>
      <c r="K399" s="40">
        <v>104.99</v>
      </c>
      <c r="L399" s="41" t="s">
        <v>275</v>
      </c>
      <c r="M399" s="26" t="s">
        <v>274</v>
      </c>
      <c r="N399" s="11"/>
      <c r="O399" s="15"/>
      <c r="P399" s="16"/>
    </row>
    <row r="400" spans="1:16" s="4" customFormat="1" x14ac:dyDescent="0.25">
      <c r="A400" s="64" t="s">
        <v>1528</v>
      </c>
      <c r="B400" s="34">
        <v>9780333915172</v>
      </c>
      <c r="C400" s="23" t="s">
        <v>319</v>
      </c>
      <c r="D400" s="24" t="s">
        <v>1583</v>
      </c>
      <c r="E400" s="23" t="s">
        <v>1574</v>
      </c>
      <c r="F400" s="25">
        <v>2001</v>
      </c>
      <c r="G400" s="19" t="s">
        <v>4</v>
      </c>
      <c r="H400" s="33">
        <v>2368</v>
      </c>
      <c r="I400" s="38">
        <v>30</v>
      </c>
      <c r="J400" s="59">
        <v>1658</v>
      </c>
      <c r="K400" s="44">
        <v>58</v>
      </c>
      <c r="L400" s="45" t="s">
        <v>272</v>
      </c>
      <c r="M400" s="19" t="s">
        <v>274</v>
      </c>
      <c r="N400" s="29"/>
      <c r="O400" s="18">
        <v>256</v>
      </c>
      <c r="P400" s="19" t="s">
        <v>1584</v>
      </c>
    </row>
    <row r="401" spans="1:16" s="4" customFormat="1" x14ac:dyDescent="0.25">
      <c r="A401" s="62" t="s">
        <v>1528</v>
      </c>
      <c r="B401" s="12">
        <v>9780230002531</v>
      </c>
      <c r="C401" s="13" t="s">
        <v>1071</v>
      </c>
      <c r="D401" s="14" t="str">
        <f>HYPERLINK("http://www.springer.com/gp/book/9780230002531","Accentuation and Interpretation")</f>
        <v>Accentuation and Interpretation</v>
      </c>
      <c r="E401" s="20"/>
      <c r="F401" s="15" t="s">
        <v>705</v>
      </c>
      <c r="G401" s="16" t="s">
        <v>1525</v>
      </c>
      <c r="H401" s="17">
        <v>3286</v>
      </c>
      <c r="I401" s="37">
        <v>25</v>
      </c>
      <c r="J401" s="59">
        <v>2465</v>
      </c>
      <c r="K401" s="40">
        <v>104.99</v>
      </c>
      <c r="L401" s="41" t="s">
        <v>275</v>
      </c>
      <c r="M401" s="26" t="s">
        <v>274</v>
      </c>
      <c r="N401" s="11"/>
      <c r="O401" s="15"/>
      <c r="P401" s="16"/>
    </row>
    <row r="402" spans="1:16" s="4" customFormat="1" x14ac:dyDescent="0.25">
      <c r="A402" s="63" t="s">
        <v>1528</v>
      </c>
      <c r="B402" s="22">
        <v>9780230208018</v>
      </c>
      <c r="C402" s="23" t="s">
        <v>422</v>
      </c>
      <c r="D402" s="24" t="s">
        <v>421</v>
      </c>
      <c r="E402" s="23"/>
      <c r="F402" s="25">
        <v>2010</v>
      </c>
      <c r="G402" s="26" t="s">
        <v>1678</v>
      </c>
      <c r="H402" s="27">
        <v>1061</v>
      </c>
      <c r="I402" s="37">
        <v>25</v>
      </c>
      <c r="J402" s="59">
        <v>796</v>
      </c>
      <c r="K402" s="42">
        <v>25.99</v>
      </c>
      <c r="L402" s="43" t="s">
        <v>272</v>
      </c>
      <c r="M402" s="26" t="s">
        <v>273</v>
      </c>
      <c r="N402" s="21" t="s">
        <v>1680</v>
      </c>
      <c r="O402" s="25">
        <v>392</v>
      </c>
      <c r="P402" s="28" t="s">
        <v>423</v>
      </c>
    </row>
    <row r="403" spans="1:16" s="4" customFormat="1" x14ac:dyDescent="0.25">
      <c r="A403" s="62" t="s">
        <v>1528</v>
      </c>
      <c r="B403" s="12">
        <v>9780230302358</v>
      </c>
      <c r="C403" s="13" t="s">
        <v>964</v>
      </c>
      <c r="D403" s="14" t="str">
        <f>HYPERLINK("http://www.springer.com/gp/book/9780230302358","Applying Cognitive Linguistics to Second Language Learning and Teaching")</f>
        <v>Applying Cognitive Linguistics to Second Language Learning and Teaching</v>
      </c>
      <c r="E403" s="20"/>
      <c r="F403" s="15" t="s">
        <v>696</v>
      </c>
      <c r="G403" s="16" t="s">
        <v>1525</v>
      </c>
      <c r="H403" s="17">
        <v>1121</v>
      </c>
      <c r="I403" s="37">
        <v>25</v>
      </c>
      <c r="J403" s="59">
        <v>841</v>
      </c>
      <c r="K403" s="40">
        <v>34.99</v>
      </c>
      <c r="L403" s="41" t="s">
        <v>275</v>
      </c>
      <c r="M403" s="19" t="s">
        <v>273</v>
      </c>
      <c r="N403" s="11"/>
      <c r="O403" s="15"/>
      <c r="P403" s="16"/>
    </row>
    <row r="404" spans="1:16" s="4" customFormat="1" x14ac:dyDescent="0.25">
      <c r="A404" s="62" t="s">
        <v>1528</v>
      </c>
      <c r="B404" s="12">
        <v>9780230219489</v>
      </c>
      <c r="C404" s="13" t="s">
        <v>964</v>
      </c>
      <c r="D404" s="14" t="str">
        <f>HYPERLINK("http://www.springer.com/gp/book/9780230219489","Applying Cognitive Linguistics to Second Language Learning and Teaching")</f>
        <v>Applying Cognitive Linguistics to Second Language Learning and Teaching</v>
      </c>
      <c r="E404" s="20"/>
      <c r="F404" s="15" t="s">
        <v>696</v>
      </c>
      <c r="G404" s="16" t="s">
        <v>1525</v>
      </c>
      <c r="H404" s="17">
        <v>2723</v>
      </c>
      <c r="I404" s="37">
        <v>25</v>
      </c>
      <c r="J404" s="59">
        <v>2042</v>
      </c>
      <c r="K404" s="40">
        <v>86.99</v>
      </c>
      <c r="L404" s="41" t="s">
        <v>275</v>
      </c>
      <c r="M404" s="26" t="s">
        <v>274</v>
      </c>
      <c r="N404" s="11"/>
      <c r="O404" s="15"/>
      <c r="P404" s="16"/>
    </row>
    <row r="405" spans="1:16" s="4" customFormat="1" x14ac:dyDescent="0.25">
      <c r="A405" s="62" t="s">
        <v>1528</v>
      </c>
      <c r="B405" s="12">
        <v>9780230553491</v>
      </c>
      <c r="C405" s="13" t="s">
        <v>41</v>
      </c>
      <c r="D405" s="14" t="str">
        <f>HYPERLINK("http://www.springer.com/gp/book/9780230553491","Appraising Research: Evaluation in Academic Writing")</f>
        <v>Appraising Research: Evaluation in Academic Writing</v>
      </c>
      <c r="E405" s="20"/>
      <c r="F405" s="15" t="s">
        <v>688</v>
      </c>
      <c r="G405" s="16" t="s">
        <v>1525</v>
      </c>
      <c r="H405" s="17">
        <v>2817</v>
      </c>
      <c r="I405" s="37">
        <v>25</v>
      </c>
      <c r="J405" s="59">
        <v>2113</v>
      </c>
      <c r="K405" s="40">
        <v>89.99</v>
      </c>
      <c r="L405" s="41" t="s">
        <v>275</v>
      </c>
      <c r="M405" s="26" t="s">
        <v>274</v>
      </c>
      <c r="N405" s="11"/>
      <c r="O405" s="15"/>
      <c r="P405" s="16"/>
    </row>
    <row r="406" spans="1:16" s="4" customFormat="1" x14ac:dyDescent="0.25">
      <c r="A406" s="62" t="s">
        <v>1528</v>
      </c>
      <c r="B406" s="12">
        <v>9780230227989</v>
      </c>
      <c r="C406" s="13" t="s">
        <v>62</v>
      </c>
      <c r="D406" s="14" t="str">
        <f>HYPERLINK("http://www.springer.com/gp/book/9780230227989","Developing Courses in English for Specific Purposes")</f>
        <v>Developing Courses in English for Specific Purposes</v>
      </c>
      <c r="E406" s="20"/>
      <c r="F406" s="15" t="s">
        <v>688</v>
      </c>
      <c r="G406" s="16" t="s">
        <v>1525</v>
      </c>
      <c r="H406" s="17">
        <v>961</v>
      </c>
      <c r="I406" s="37">
        <v>25</v>
      </c>
      <c r="J406" s="59">
        <v>721</v>
      </c>
      <c r="K406" s="40">
        <v>29.99</v>
      </c>
      <c r="L406" s="41" t="s">
        <v>275</v>
      </c>
      <c r="M406" s="19" t="s">
        <v>273</v>
      </c>
      <c r="N406" s="11"/>
      <c r="O406" s="15"/>
      <c r="P406" s="16"/>
    </row>
    <row r="407" spans="1:16" s="4" customFormat="1" x14ac:dyDescent="0.25">
      <c r="A407" s="62" t="s">
        <v>1528</v>
      </c>
      <c r="B407" s="12">
        <v>9781137276308</v>
      </c>
      <c r="C407" s="13" t="s">
        <v>957</v>
      </c>
      <c r="D407" s="14" t="str">
        <f>HYPERLINK("http://www.springer.com/gp/book/9781137276308","English Language Teaching Textbooks")</f>
        <v>English Language Teaching Textbooks</v>
      </c>
      <c r="E407" s="20" t="s">
        <v>958</v>
      </c>
      <c r="F407" s="15" t="s">
        <v>708</v>
      </c>
      <c r="G407" s="16" t="s">
        <v>1525</v>
      </c>
      <c r="H407" s="17">
        <v>1282</v>
      </c>
      <c r="I407" s="37">
        <v>20</v>
      </c>
      <c r="J407" s="59">
        <v>1026</v>
      </c>
      <c r="K407" s="40">
        <v>39.99</v>
      </c>
      <c r="L407" s="41" t="s">
        <v>275</v>
      </c>
      <c r="M407" s="19" t="s">
        <v>273</v>
      </c>
      <c r="N407" s="11"/>
      <c r="O407" s="15"/>
      <c r="P407" s="16"/>
    </row>
    <row r="408" spans="1:16" s="4" customFormat="1" x14ac:dyDescent="0.25">
      <c r="A408" s="63" t="s">
        <v>1528</v>
      </c>
      <c r="B408" s="22">
        <v>9781403945891</v>
      </c>
      <c r="C408" s="23" t="s">
        <v>425</v>
      </c>
      <c r="D408" s="24" t="s">
        <v>424</v>
      </c>
      <c r="E408" s="23"/>
      <c r="F408" s="25">
        <v>2009</v>
      </c>
      <c r="G408" s="26" t="s">
        <v>1678</v>
      </c>
      <c r="H408" s="27">
        <v>3062</v>
      </c>
      <c r="I408" s="37">
        <v>25</v>
      </c>
      <c r="J408" s="59">
        <v>2297</v>
      </c>
      <c r="K408" s="42">
        <v>75</v>
      </c>
      <c r="L408" s="43" t="s">
        <v>272</v>
      </c>
      <c r="M408" s="26" t="s">
        <v>274</v>
      </c>
      <c r="N408" s="21"/>
      <c r="O408" s="25">
        <v>700</v>
      </c>
      <c r="P408" s="28" t="s">
        <v>426</v>
      </c>
    </row>
    <row r="409" spans="1:16" s="4" customFormat="1" x14ac:dyDescent="0.25">
      <c r="A409" s="64" t="s">
        <v>1528</v>
      </c>
      <c r="B409" s="29">
        <v>9780230551213</v>
      </c>
      <c r="C409" s="30" t="s">
        <v>66</v>
      </c>
      <c r="D409" s="31" t="s">
        <v>67</v>
      </c>
      <c r="E409" s="30"/>
      <c r="F409" s="32">
        <v>2008</v>
      </c>
      <c r="G409" s="19" t="s">
        <v>4</v>
      </c>
      <c r="H409" s="33">
        <v>1061</v>
      </c>
      <c r="I409" s="37">
        <v>25</v>
      </c>
      <c r="J409" s="59">
        <v>796</v>
      </c>
      <c r="K409" s="44">
        <v>25.99</v>
      </c>
      <c r="L409" s="45" t="s">
        <v>272</v>
      </c>
      <c r="M409" s="19" t="s">
        <v>273</v>
      </c>
      <c r="N409" s="21" t="s">
        <v>1680</v>
      </c>
      <c r="O409" s="18">
        <v>368</v>
      </c>
      <c r="P409" s="19" t="s">
        <v>1567</v>
      </c>
    </row>
    <row r="410" spans="1:16" s="4" customFormat="1" x14ac:dyDescent="0.25">
      <c r="A410" s="63" t="s">
        <v>1528</v>
      </c>
      <c r="B410" s="22">
        <v>9780230551404</v>
      </c>
      <c r="C410" s="23" t="s">
        <v>502</v>
      </c>
      <c r="D410" s="24" t="s">
        <v>501</v>
      </c>
      <c r="E410" s="23"/>
      <c r="F410" s="25">
        <v>2009</v>
      </c>
      <c r="G410" s="26" t="s">
        <v>1678</v>
      </c>
      <c r="H410" s="27">
        <v>857</v>
      </c>
      <c r="I410" s="37">
        <v>25</v>
      </c>
      <c r="J410" s="59">
        <v>643</v>
      </c>
      <c r="K410" s="42">
        <v>20.99</v>
      </c>
      <c r="L410" s="43" t="s">
        <v>272</v>
      </c>
      <c r="M410" s="26" t="s">
        <v>273</v>
      </c>
      <c r="N410" s="21"/>
      <c r="O410" s="25">
        <v>224</v>
      </c>
      <c r="P410" s="28" t="s">
        <v>503</v>
      </c>
    </row>
    <row r="411" spans="1:16" s="4" customFormat="1" x14ac:dyDescent="0.25">
      <c r="A411" s="62" t="s">
        <v>1528</v>
      </c>
      <c r="B411" s="12">
        <v>9780230203518</v>
      </c>
      <c r="C411" s="13" t="s">
        <v>945</v>
      </c>
      <c r="D411" s="14" t="str">
        <f>HYPERLINK("http://www.springer.com/gp/book/9780230203518","Internationalising the University")</f>
        <v>Internationalising the University</v>
      </c>
      <c r="E411" s="20" t="s">
        <v>946</v>
      </c>
      <c r="F411" s="15" t="s">
        <v>696</v>
      </c>
      <c r="G411" s="16" t="s">
        <v>1525</v>
      </c>
      <c r="H411" s="17">
        <v>3130</v>
      </c>
      <c r="I411" s="37">
        <v>25</v>
      </c>
      <c r="J411" s="59">
        <v>2348</v>
      </c>
      <c r="K411" s="40">
        <v>99.99</v>
      </c>
      <c r="L411" s="41" t="s">
        <v>275</v>
      </c>
      <c r="M411" s="26" t="s">
        <v>274</v>
      </c>
      <c r="N411" s="11"/>
      <c r="O411" s="15"/>
      <c r="P411" s="16"/>
    </row>
    <row r="412" spans="1:16" s="4" customFormat="1" x14ac:dyDescent="0.25">
      <c r="A412" s="62" t="s">
        <v>1528</v>
      </c>
      <c r="B412" s="12">
        <v>9781137390592</v>
      </c>
      <c r="C412" s="13" t="s">
        <v>1067</v>
      </c>
      <c r="D412" s="14" t="str">
        <f>HYPERLINK("http://www.springer.com/gp/book/9781137390592","Language Planning and National Identity in Croatia")</f>
        <v>Language Planning and National Identity in Croatia</v>
      </c>
      <c r="E412" s="20"/>
      <c r="F412" s="15" t="s">
        <v>708</v>
      </c>
      <c r="G412" s="16" t="s">
        <v>1525</v>
      </c>
      <c r="H412" s="17">
        <v>3130</v>
      </c>
      <c r="I412" s="37">
        <v>20</v>
      </c>
      <c r="J412" s="59">
        <v>2504</v>
      </c>
      <c r="K412" s="40">
        <v>99.99</v>
      </c>
      <c r="L412" s="41" t="s">
        <v>275</v>
      </c>
      <c r="M412" s="26" t="s">
        <v>274</v>
      </c>
      <c r="N412" s="11"/>
      <c r="O412" s="15"/>
      <c r="P412" s="16"/>
    </row>
    <row r="413" spans="1:16" s="4" customFormat="1" x14ac:dyDescent="0.25">
      <c r="A413" s="62" t="s">
        <v>1528</v>
      </c>
      <c r="B413" s="12">
        <v>9780230279674</v>
      </c>
      <c r="C413" s="13" t="s">
        <v>970</v>
      </c>
      <c r="D413" s="14" t="str">
        <f>HYPERLINK("http://www.springer.com/gp/book/9780230279674","Learning and Teaching Across Cultures in Higher Education")</f>
        <v>Learning and Teaching Across Cultures in Higher Education</v>
      </c>
      <c r="E413" s="20"/>
      <c r="F413" s="15" t="s">
        <v>729</v>
      </c>
      <c r="G413" s="16" t="s">
        <v>1525</v>
      </c>
      <c r="H413" s="17">
        <v>961</v>
      </c>
      <c r="I413" s="38">
        <v>30</v>
      </c>
      <c r="J413" s="59">
        <v>673</v>
      </c>
      <c r="K413" s="40">
        <v>29.99</v>
      </c>
      <c r="L413" s="41" t="s">
        <v>275</v>
      </c>
      <c r="M413" s="19" t="s">
        <v>273</v>
      </c>
      <c r="N413" s="11"/>
      <c r="O413" s="15"/>
      <c r="P413" s="16"/>
    </row>
    <row r="414" spans="1:16" s="4" customFormat="1" x14ac:dyDescent="0.25">
      <c r="A414" s="62" t="s">
        <v>1528</v>
      </c>
      <c r="B414" s="12">
        <v>9781403996572</v>
      </c>
      <c r="C414" s="13" t="s">
        <v>1069</v>
      </c>
      <c r="D414" s="14" t="str">
        <f>HYPERLINK("http://www.springer.com/gp/book/9781403996572","Linguistic Areas")</f>
        <v>Linguistic Areas</v>
      </c>
      <c r="E414" s="20" t="s">
        <v>1070</v>
      </c>
      <c r="F414" s="15" t="s">
        <v>917</v>
      </c>
      <c r="G414" s="16" t="s">
        <v>1525</v>
      </c>
      <c r="H414" s="17">
        <v>3912</v>
      </c>
      <c r="I414" s="38">
        <v>30</v>
      </c>
      <c r="J414" s="59">
        <v>2738</v>
      </c>
      <c r="K414" s="40">
        <v>124.99</v>
      </c>
      <c r="L414" s="41" t="s">
        <v>275</v>
      </c>
      <c r="M414" s="26" t="s">
        <v>274</v>
      </c>
      <c r="N414" s="11"/>
      <c r="O414" s="15"/>
      <c r="P414" s="16"/>
    </row>
    <row r="415" spans="1:16" s="4" customFormat="1" x14ac:dyDescent="0.25">
      <c r="A415" s="62" t="s">
        <v>1528</v>
      </c>
      <c r="B415" s="12">
        <v>9780230217034</v>
      </c>
      <c r="C415" s="13" t="s">
        <v>1063</v>
      </c>
      <c r="D415" s="14" t="str">
        <f>HYPERLINK("http://www.springer.com/gp/book/9780230217034","Minority Languages in Europe")</f>
        <v>Minority Languages in Europe</v>
      </c>
      <c r="E415" s="20" t="s">
        <v>1064</v>
      </c>
      <c r="F415" s="15" t="s">
        <v>829</v>
      </c>
      <c r="G415" s="16" t="s">
        <v>1525</v>
      </c>
      <c r="H415" s="17">
        <v>1121</v>
      </c>
      <c r="I415" s="38">
        <v>30</v>
      </c>
      <c r="J415" s="59">
        <v>785</v>
      </c>
      <c r="K415" s="40">
        <v>34.99</v>
      </c>
      <c r="L415" s="41" t="s">
        <v>275</v>
      </c>
      <c r="M415" s="19" t="s">
        <v>273</v>
      </c>
      <c r="N415" s="11"/>
      <c r="O415" s="15"/>
      <c r="P415" s="16"/>
    </row>
    <row r="416" spans="1:16" s="4" customFormat="1" x14ac:dyDescent="0.25">
      <c r="A416" s="63" t="s">
        <v>1528</v>
      </c>
      <c r="B416" s="22">
        <v>9781137003676</v>
      </c>
      <c r="C416" s="23" t="s">
        <v>488</v>
      </c>
      <c r="D416" s="24" t="s">
        <v>487</v>
      </c>
      <c r="E416" s="23"/>
      <c r="F416" s="25">
        <v>2014</v>
      </c>
      <c r="G416" s="26" t="s">
        <v>1678</v>
      </c>
      <c r="H416" s="27">
        <v>1102</v>
      </c>
      <c r="I416" s="37">
        <v>20</v>
      </c>
      <c r="J416" s="59">
        <v>882</v>
      </c>
      <c r="K416" s="42">
        <v>26.99</v>
      </c>
      <c r="L416" s="43" t="s">
        <v>272</v>
      </c>
      <c r="M416" s="26" t="s">
        <v>273</v>
      </c>
      <c r="N416" s="21" t="s">
        <v>1680</v>
      </c>
      <c r="O416" s="25">
        <v>344</v>
      </c>
      <c r="P416" s="28" t="s">
        <v>489</v>
      </c>
    </row>
    <row r="417" spans="1:16" s="4" customFormat="1" x14ac:dyDescent="0.25">
      <c r="A417" s="63" t="s">
        <v>1528</v>
      </c>
      <c r="B417" s="22">
        <v>9781457609404</v>
      </c>
      <c r="C417" s="23" t="s">
        <v>575</v>
      </c>
      <c r="D417" s="24" t="s">
        <v>265</v>
      </c>
      <c r="E417" s="23"/>
      <c r="F417" s="25">
        <v>2013</v>
      </c>
      <c r="G417" s="26" t="s">
        <v>1678</v>
      </c>
      <c r="H417" s="27">
        <v>1469</v>
      </c>
      <c r="I417" s="37">
        <v>20</v>
      </c>
      <c r="J417" s="59">
        <v>1175</v>
      </c>
      <c r="K417" s="42">
        <v>35.99</v>
      </c>
      <c r="L417" s="43" t="s">
        <v>272</v>
      </c>
      <c r="M417" s="26" t="s">
        <v>273</v>
      </c>
      <c r="N417" s="21"/>
      <c r="O417" s="25">
        <v>528</v>
      </c>
      <c r="P417" s="28" t="s">
        <v>576</v>
      </c>
    </row>
    <row r="418" spans="1:16" s="4" customFormat="1" x14ac:dyDescent="0.25">
      <c r="A418" s="64" t="s">
        <v>1528</v>
      </c>
      <c r="B418" s="29">
        <v>9780230542983</v>
      </c>
      <c r="C418" s="30" t="s">
        <v>116</v>
      </c>
      <c r="D418" s="31" t="s">
        <v>117</v>
      </c>
      <c r="E418" s="30"/>
      <c r="F418" s="32">
        <v>2007</v>
      </c>
      <c r="G418" s="19" t="s">
        <v>4</v>
      </c>
      <c r="H418" s="33">
        <v>1232</v>
      </c>
      <c r="I418" s="38">
        <v>30</v>
      </c>
      <c r="J418" s="59">
        <v>862</v>
      </c>
      <c r="K418" s="44">
        <v>30.17</v>
      </c>
      <c r="L418" s="45" t="s">
        <v>272</v>
      </c>
      <c r="M418" s="19" t="s">
        <v>273</v>
      </c>
      <c r="N418" s="21" t="s">
        <v>1679</v>
      </c>
      <c r="O418" s="18">
        <v>320</v>
      </c>
      <c r="P418" s="19" t="s">
        <v>1566</v>
      </c>
    </row>
    <row r="419" spans="1:16" s="4" customFormat="1" x14ac:dyDescent="0.25">
      <c r="A419" s="62" t="s">
        <v>1528</v>
      </c>
      <c r="B419" s="12">
        <v>9781403985361</v>
      </c>
      <c r="C419" s="13" t="s">
        <v>974</v>
      </c>
      <c r="D419" s="14" t="str">
        <f>HYPERLINK("http://www.springer.com/gp/book/9781403985361","Researching Vocabulary")</f>
        <v>Researching Vocabulary</v>
      </c>
      <c r="E419" s="20" t="s">
        <v>975</v>
      </c>
      <c r="F419" s="15" t="s">
        <v>688</v>
      </c>
      <c r="G419" s="16" t="s">
        <v>1525</v>
      </c>
      <c r="H419" s="17">
        <v>1121</v>
      </c>
      <c r="I419" s="37">
        <v>25</v>
      </c>
      <c r="J419" s="59">
        <v>841</v>
      </c>
      <c r="K419" s="40">
        <v>34.99</v>
      </c>
      <c r="L419" s="41" t="s">
        <v>275</v>
      </c>
      <c r="M419" s="19" t="s">
        <v>273</v>
      </c>
      <c r="N419" s="11"/>
      <c r="O419" s="15"/>
      <c r="P419" s="16"/>
    </row>
    <row r="420" spans="1:16" s="4" customFormat="1" x14ac:dyDescent="0.25">
      <c r="A420" s="62" t="s">
        <v>1528</v>
      </c>
      <c r="B420" s="12">
        <v>9780230203563</v>
      </c>
      <c r="C420" s="13" t="s">
        <v>951</v>
      </c>
      <c r="D420" s="14" t="str">
        <f>HYPERLINK("http://www.springer.com/gp/book/9780230203563","Rights, Promotion and Integration Issues for Minority Languages in Europe")</f>
        <v>Rights, Promotion and Integration Issues for Minority Languages in Europe</v>
      </c>
      <c r="E420" s="20"/>
      <c r="F420" s="15" t="s">
        <v>696</v>
      </c>
      <c r="G420" s="16" t="s">
        <v>1525</v>
      </c>
      <c r="H420" s="17">
        <v>3443</v>
      </c>
      <c r="I420" s="37">
        <v>25</v>
      </c>
      <c r="J420" s="59">
        <v>2582</v>
      </c>
      <c r="K420" s="40">
        <v>109.99</v>
      </c>
      <c r="L420" s="41" t="s">
        <v>275</v>
      </c>
      <c r="M420" s="26" t="s">
        <v>274</v>
      </c>
      <c r="N420" s="11"/>
      <c r="O420" s="15"/>
      <c r="P420" s="16"/>
    </row>
    <row r="421" spans="1:16" s="4" customFormat="1" x14ac:dyDescent="0.25">
      <c r="A421" s="63" t="s">
        <v>1528</v>
      </c>
      <c r="B421" s="22">
        <v>9781403922083</v>
      </c>
      <c r="C421" s="23" t="s">
        <v>428</v>
      </c>
      <c r="D421" s="24" t="s">
        <v>427</v>
      </c>
      <c r="E421" s="23"/>
      <c r="F421" s="25">
        <v>2007</v>
      </c>
      <c r="G421" s="26" t="s">
        <v>1678</v>
      </c>
      <c r="H421" s="27">
        <v>979</v>
      </c>
      <c r="I421" s="38">
        <v>30</v>
      </c>
      <c r="J421" s="59">
        <v>685</v>
      </c>
      <c r="K421" s="42">
        <v>23.99</v>
      </c>
      <c r="L421" s="43" t="s">
        <v>272</v>
      </c>
      <c r="M421" s="26" t="s">
        <v>273</v>
      </c>
      <c r="N421" s="21"/>
      <c r="O421" s="25">
        <v>200</v>
      </c>
      <c r="P421" s="28" t="s">
        <v>429</v>
      </c>
    </row>
    <row r="422" spans="1:16" s="4" customFormat="1" x14ac:dyDescent="0.25">
      <c r="A422" s="63" t="s">
        <v>1528</v>
      </c>
      <c r="B422" s="22">
        <v>9780230200159</v>
      </c>
      <c r="C422" s="23" t="s">
        <v>447</v>
      </c>
      <c r="D422" s="24" t="s">
        <v>129</v>
      </c>
      <c r="E422" s="23"/>
      <c r="F422" s="25">
        <v>2010</v>
      </c>
      <c r="G422" s="26" t="s">
        <v>1678</v>
      </c>
      <c r="H422" s="27">
        <v>898</v>
      </c>
      <c r="I422" s="37">
        <v>25</v>
      </c>
      <c r="J422" s="59">
        <v>674</v>
      </c>
      <c r="K422" s="42">
        <v>21.99</v>
      </c>
      <c r="L422" s="43" t="s">
        <v>272</v>
      </c>
      <c r="M422" s="26" t="s">
        <v>273</v>
      </c>
      <c r="N422" s="21" t="s">
        <v>1679</v>
      </c>
      <c r="O422" s="25">
        <v>376</v>
      </c>
      <c r="P422" s="28" t="s">
        <v>448</v>
      </c>
    </row>
    <row r="423" spans="1:16" s="4" customFormat="1" x14ac:dyDescent="0.25">
      <c r="A423" s="62" t="s">
        <v>1528</v>
      </c>
      <c r="B423" s="12">
        <v>9780230576315</v>
      </c>
      <c r="C423" s="13" t="s">
        <v>1068</v>
      </c>
      <c r="D423" s="14" t="str">
        <f>HYPERLINK("http://www.springer.com/gp/book/9780230576315","Swearing: A Cross-Cultural Linguistic Study")</f>
        <v>Swearing: A Cross-Cultural Linguistic Study</v>
      </c>
      <c r="E423" s="20"/>
      <c r="F423" s="15" t="s">
        <v>714</v>
      </c>
      <c r="G423" s="16" t="s">
        <v>1525</v>
      </c>
      <c r="H423" s="17">
        <v>2723</v>
      </c>
      <c r="I423" s="37">
        <v>25</v>
      </c>
      <c r="J423" s="59">
        <v>2042</v>
      </c>
      <c r="K423" s="40">
        <v>86.99</v>
      </c>
      <c r="L423" s="41" t="s">
        <v>275</v>
      </c>
      <c r="M423" s="26" t="s">
        <v>274</v>
      </c>
      <c r="N423" s="11"/>
      <c r="O423" s="15"/>
      <c r="P423" s="16"/>
    </row>
    <row r="424" spans="1:16" s="4" customFormat="1" x14ac:dyDescent="0.25">
      <c r="A424" s="62" t="s">
        <v>1528</v>
      </c>
      <c r="B424" s="12">
        <v>9780230232587</v>
      </c>
      <c r="C424" s="13" t="s">
        <v>959</v>
      </c>
      <c r="D424" s="14" t="str">
        <f>HYPERLINK("http://www.springer.com/gp/book/9780230232587","Teacher Development in Action")</f>
        <v>Teacher Development in Action</v>
      </c>
      <c r="E424" s="20" t="s">
        <v>960</v>
      </c>
      <c r="F424" s="15" t="s">
        <v>961</v>
      </c>
      <c r="G424" s="16" t="s">
        <v>1525</v>
      </c>
      <c r="H424" s="17">
        <v>2563</v>
      </c>
      <c r="I424" s="37">
        <v>20</v>
      </c>
      <c r="J424" s="59">
        <v>2050</v>
      </c>
      <c r="K424" s="40">
        <v>79.989999999999995</v>
      </c>
      <c r="L424" s="41" t="s">
        <v>275</v>
      </c>
      <c r="M424" s="26" t="s">
        <v>274</v>
      </c>
      <c r="N424" s="11"/>
      <c r="O424" s="15"/>
      <c r="P424" s="16"/>
    </row>
    <row r="425" spans="1:16" s="4" customFormat="1" x14ac:dyDescent="0.25">
      <c r="A425" s="62" t="s">
        <v>1528</v>
      </c>
      <c r="B425" s="12">
        <v>9780230222588</v>
      </c>
      <c r="C425" s="13" t="s">
        <v>954</v>
      </c>
      <c r="D425" s="14" t="str">
        <f>HYPERLINK("http://www.springer.com/gp/book/9780230222588","The Construction of English")</f>
        <v>The Construction of English</v>
      </c>
      <c r="E425" s="20" t="s">
        <v>955</v>
      </c>
      <c r="F425" s="15" t="s">
        <v>688</v>
      </c>
      <c r="G425" s="16" t="s">
        <v>1525</v>
      </c>
      <c r="H425" s="17">
        <v>2723</v>
      </c>
      <c r="I425" s="37">
        <v>25</v>
      </c>
      <c r="J425" s="59">
        <v>2042</v>
      </c>
      <c r="K425" s="40">
        <v>86.99</v>
      </c>
      <c r="L425" s="41" t="s">
        <v>275</v>
      </c>
      <c r="M425" s="26" t="s">
        <v>274</v>
      </c>
      <c r="N425" s="11"/>
      <c r="O425" s="15"/>
      <c r="P425" s="16"/>
    </row>
    <row r="426" spans="1:16" s="4" customFormat="1" x14ac:dyDescent="0.25">
      <c r="A426" s="63" t="s">
        <v>1528</v>
      </c>
      <c r="B426" s="22">
        <v>9781403989710</v>
      </c>
      <c r="C426" s="23" t="s">
        <v>430</v>
      </c>
      <c r="D426" s="24" t="s">
        <v>143</v>
      </c>
      <c r="E426" s="23"/>
      <c r="F426" s="25">
        <v>2010</v>
      </c>
      <c r="G426" s="26" t="s">
        <v>1678</v>
      </c>
      <c r="H426" s="27">
        <v>857</v>
      </c>
      <c r="I426" s="37">
        <v>25</v>
      </c>
      <c r="J426" s="59">
        <v>643</v>
      </c>
      <c r="K426" s="42">
        <v>20.99</v>
      </c>
      <c r="L426" s="43" t="s">
        <v>272</v>
      </c>
      <c r="M426" s="26" t="s">
        <v>273</v>
      </c>
      <c r="N426" s="21"/>
      <c r="O426" s="25">
        <v>384</v>
      </c>
      <c r="P426" s="28" t="s">
        <v>431</v>
      </c>
    </row>
    <row r="427" spans="1:16" s="4" customFormat="1" x14ac:dyDescent="0.25">
      <c r="A427" s="64" t="s">
        <v>1528</v>
      </c>
      <c r="B427" s="29">
        <v>9780230013148</v>
      </c>
      <c r="C427" s="30" t="s">
        <v>149</v>
      </c>
      <c r="D427" s="31" t="s">
        <v>150</v>
      </c>
      <c r="E427" s="30" t="s">
        <v>1526</v>
      </c>
      <c r="F427" s="32">
        <v>2007</v>
      </c>
      <c r="G427" s="19" t="s">
        <v>4</v>
      </c>
      <c r="H427" s="33">
        <v>898</v>
      </c>
      <c r="I427" s="38">
        <v>30</v>
      </c>
      <c r="J427" s="59">
        <v>629</v>
      </c>
      <c r="K427" s="44">
        <v>21.99</v>
      </c>
      <c r="L427" s="45" t="s">
        <v>272</v>
      </c>
      <c r="M427" s="19" t="s">
        <v>273</v>
      </c>
      <c r="N427" s="21" t="s">
        <v>1679</v>
      </c>
      <c r="O427" s="18">
        <v>368</v>
      </c>
      <c r="P427" s="19" t="s">
        <v>1527</v>
      </c>
    </row>
    <row r="428" spans="1:16" s="4" customFormat="1" x14ac:dyDescent="0.25">
      <c r="A428" s="63" t="s">
        <v>1528</v>
      </c>
      <c r="B428" s="22">
        <v>9780230291423</v>
      </c>
      <c r="C428" s="23" t="s">
        <v>517</v>
      </c>
      <c r="D428" s="24" t="s">
        <v>516</v>
      </c>
      <c r="E428" s="23"/>
      <c r="F428" s="25">
        <v>2014</v>
      </c>
      <c r="G428" s="26" t="s">
        <v>1678</v>
      </c>
      <c r="H428" s="27">
        <v>979</v>
      </c>
      <c r="I428" s="37">
        <v>20</v>
      </c>
      <c r="J428" s="59">
        <v>783</v>
      </c>
      <c r="K428" s="42">
        <v>23.99</v>
      </c>
      <c r="L428" s="43" t="s">
        <v>272</v>
      </c>
      <c r="M428" s="26" t="s">
        <v>273</v>
      </c>
      <c r="N428" s="21"/>
      <c r="O428" s="25">
        <v>296</v>
      </c>
      <c r="P428" s="28" t="s">
        <v>518</v>
      </c>
    </row>
    <row r="429" spans="1:16" s="4" customFormat="1" x14ac:dyDescent="0.25">
      <c r="A429" s="62" t="s">
        <v>1528</v>
      </c>
      <c r="B429" s="12">
        <v>9780230249745</v>
      </c>
      <c r="C429" s="13" t="s">
        <v>943</v>
      </c>
      <c r="D429" s="14" t="str">
        <f>HYPERLINK("http://www.springer.com/gp/book/9780230249745","Theory and Concepts of English for Academic Purposes")</f>
        <v>Theory and Concepts of English for Academic Purposes</v>
      </c>
      <c r="E429" s="20"/>
      <c r="F429" s="15" t="s">
        <v>694</v>
      </c>
      <c r="G429" s="16" t="s">
        <v>1525</v>
      </c>
      <c r="H429" s="17">
        <v>3130</v>
      </c>
      <c r="I429" s="37">
        <v>20</v>
      </c>
      <c r="J429" s="59">
        <v>2504</v>
      </c>
      <c r="K429" s="40">
        <v>99.99</v>
      </c>
      <c r="L429" s="41" t="s">
        <v>275</v>
      </c>
      <c r="M429" s="26" t="s">
        <v>274</v>
      </c>
      <c r="N429" s="11"/>
      <c r="O429" s="15"/>
      <c r="P429" s="16"/>
    </row>
    <row r="430" spans="1:16" s="4" customFormat="1" x14ac:dyDescent="0.25">
      <c r="A430" s="62" t="s">
        <v>1528</v>
      </c>
      <c r="B430" s="12">
        <v>9781403987969</v>
      </c>
      <c r="C430" s="13" t="s">
        <v>1065</v>
      </c>
      <c r="D430" s="14" t="str">
        <f>HYPERLINK("http://www.springer.com/gp/book/9781403987969","Tourism Discourse")</f>
        <v>Tourism Discourse</v>
      </c>
      <c r="E430" s="20" t="s">
        <v>1066</v>
      </c>
      <c r="F430" s="15" t="s">
        <v>688</v>
      </c>
      <c r="G430" s="16" t="s">
        <v>1525</v>
      </c>
      <c r="H430" s="17">
        <v>3130</v>
      </c>
      <c r="I430" s="37">
        <v>25</v>
      </c>
      <c r="J430" s="59">
        <v>2348</v>
      </c>
      <c r="K430" s="40">
        <v>99.99</v>
      </c>
      <c r="L430" s="41" t="s">
        <v>275</v>
      </c>
      <c r="M430" s="26" t="s">
        <v>274</v>
      </c>
      <c r="N430" s="11"/>
      <c r="O430" s="15"/>
      <c r="P430" s="16"/>
    </row>
    <row r="431" spans="1:16" s="4" customFormat="1" x14ac:dyDescent="0.25">
      <c r="A431" s="64" t="s">
        <v>1528</v>
      </c>
      <c r="B431" s="29">
        <v>9780230723221</v>
      </c>
      <c r="C431" s="30" t="s">
        <v>178</v>
      </c>
      <c r="D431" s="31" t="s">
        <v>1575</v>
      </c>
      <c r="E431" s="30" t="s">
        <v>1573</v>
      </c>
      <c r="F431" s="32">
        <v>2009</v>
      </c>
      <c r="G431" s="19" t="s">
        <v>4</v>
      </c>
      <c r="H431" s="33">
        <v>1041</v>
      </c>
      <c r="I431" s="37">
        <v>25</v>
      </c>
      <c r="J431" s="59">
        <v>781</v>
      </c>
      <c r="K431" s="44">
        <v>25.5</v>
      </c>
      <c r="L431" s="45" t="s">
        <v>272</v>
      </c>
      <c r="M431" s="19" t="s">
        <v>273</v>
      </c>
      <c r="N431" s="29"/>
      <c r="O431" s="18">
        <v>176</v>
      </c>
      <c r="P431" s="19" t="s">
        <v>1576</v>
      </c>
    </row>
    <row r="432" spans="1:16" s="4" customFormat="1" x14ac:dyDescent="0.25">
      <c r="A432" s="62" t="s">
        <v>1528</v>
      </c>
      <c r="B432" s="12">
        <v>9781403939661</v>
      </c>
      <c r="C432" s="13" t="s">
        <v>1057</v>
      </c>
      <c r="D432" s="14" t="str">
        <f>HYPERLINK("http://www.springer.com/gp/book/9781403939661","Vocabulary and Writing in a First and Second Language")</f>
        <v>Vocabulary and Writing in a First and Second Language</v>
      </c>
      <c r="E432" s="20" t="s">
        <v>1058</v>
      </c>
      <c r="F432" s="15" t="s">
        <v>705</v>
      </c>
      <c r="G432" s="16" t="s">
        <v>1525</v>
      </c>
      <c r="H432" s="17">
        <v>3286</v>
      </c>
      <c r="I432" s="37">
        <v>25</v>
      </c>
      <c r="J432" s="59">
        <v>2465</v>
      </c>
      <c r="K432" s="40">
        <v>104.99</v>
      </c>
      <c r="L432" s="41" t="s">
        <v>275</v>
      </c>
      <c r="M432" s="26" t="s">
        <v>274</v>
      </c>
      <c r="N432" s="11"/>
      <c r="O432" s="15"/>
      <c r="P432" s="16"/>
    </row>
    <row r="433" spans="1:16" s="4" customFormat="1" x14ac:dyDescent="0.25">
      <c r="A433" s="64" t="s">
        <v>1707</v>
      </c>
      <c r="B433" s="29">
        <v>9780230319646</v>
      </c>
      <c r="C433" s="30" t="s">
        <v>105</v>
      </c>
      <c r="D433" s="31" t="s">
        <v>1546</v>
      </c>
      <c r="E433" s="30"/>
      <c r="F433" s="32">
        <v>2011</v>
      </c>
      <c r="G433" s="19" t="s">
        <v>4</v>
      </c>
      <c r="H433" s="33">
        <v>1143</v>
      </c>
      <c r="I433" s="37">
        <v>25</v>
      </c>
      <c r="J433" s="59">
        <v>857</v>
      </c>
      <c r="K433" s="44">
        <v>27.99</v>
      </c>
      <c r="L433" s="45" t="s">
        <v>272</v>
      </c>
      <c r="M433" s="19" t="s">
        <v>1547</v>
      </c>
      <c r="N433" s="29"/>
      <c r="O433" s="18">
        <v>868</v>
      </c>
      <c r="P433" s="19" t="s">
        <v>1548</v>
      </c>
    </row>
    <row r="434" spans="1:16" s="4" customFormat="1" x14ac:dyDescent="0.25">
      <c r="A434" s="64" t="s">
        <v>1707</v>
      </c>
      <c r="B434" s="29">
        <v>9781137293701</v>
      </c>
      <c r="C434" s="30" t="s">
        <v>51</v>
      </c>
      <c r="D434" s="31" t="s">
        <v>52</v>
      </c>
      <c r="E434" s="30"/>
      <c r="F434" s="32">
        <v>2013</v>
      </c>
      <c r="G434" s="19" t="s">
        <v>4</v>
      </c>
      <c r="H434" s="33">
        <v>1061</v>
      </c>
      <c r="I434" s="37">
        <v>20</v>
      </c>
      <c r="J434" s="59">
        <v>849</v>
      </c>
      <c r="K434" s="44">
        <v>25.99</v>
      </c>
      <c r="L434" s="45" t="s">
        <v>272</v>
      </c>
      <c r="M434" s="19" t="s">
        <v>273</v>
      </c>
      <c r="N434" s="21" t="s">
        <v>1687</v>
      </c>
      <c r="O434" s="18">
        <v>432</v>
      </c>
      <c r="P434" s="19" t="s">
        <v>1634</v>
      </c>
    </row>
    <row r="435" spans="1:16" s="4" customFormat="1" x14ac:dyDescent="0.25">
      <c r="A435" s="63" t="s">
        <v>1707</v>
      </c>
      <c r="B435" s="22">
        <v>9781137337825</v>
      </c>
      <c r="C435" s="23" t="s">
        <v>53</v>
      </c>
      <c r="D435" s="24" t="s">
        <v>54</v>
      </c>
      <c r="E435" s="23"/>
      <c r="F435" s="25">
        <v>2013</v>
      </c>
      <c r="G435" s="26" t="s">
        <v>1678</v>
      </c>
      <c r="H435" s="27">
        <v>751</v>
      </c>
      <c r="I435" s="37">
        <v>20</v>
      </c>
      <c r="J435" s="59">
        <v>601</v>
      </c>
      <c r="K435" s="42">
        <v>17.989999999999998</v>
      </c>
      <c r="L435" s="43" t="s">
        <v>272</v>
      </c>
      <c r="M435" s="26" t="s">
        <v>273</v>
      </c>
      <c r="N435" s="21" t="s">
        <v>1681</v>
      </c>
      <c r="O435" s="25">
        <v>552</v>
      </c>
      <c r="P435" s="28" t="s">
        <v>498</v>
      </c>
    </row>
    <row r="436" spans="1:16" s="4" customFormat="1" x14ac:dyDescent="0.25">
      <c r="A436" s="64" t="s">
        <v>1707</v>
      </c>
      <c r="B436" s="29">
        <v>9781137281395</v>
      </c>
      <c r="C436" s="30" t="s">
        <v>58</v>
      </c>
      <c r="D436" s="31" t="s">
        <v>59</v>
      </c>
      <c r="E436" s="30"/>
      <c r="F436" s="32">
        <v>2013</v>
      </c>
      <c r="G436" s="19" t="s">
        <v>4</v>
      </c>
      <c r="H436" s="33">
        <v>1061</v>
      </c>
      <c r="I436" s="37">
        <v>20</v>
      </c>
      <c r="J436" s="59">
        <v>849</v>
      </c>
      <c r="K436" s="44">
        <v>25.99</v>
      </c>
      <c r="L436" s="45" t="s">
        <v>272</v>
      </c>
      <c r="M436" s="19" t="s">
        <v>273</v>
      </c>
      <c r="N436" s="21" t="s">
        <v>1685</v>
      </c>
      <c r="O436" s="18">
        <v>400</v>
      </c>
      <c r="P436" s="19" t="s">
        <v>1633</v>
      </c>
    </row>
    <row r="437" spans="1:16" s="4" customFormat="1" x14ac:dyDescent="0.25">
      <c r="A437" s="64" t="s">
        <v>1707</v>
      </c>
      <c r="B437" s="22">
        <v>9780230232945</v>
      </c>
      <c r="C437" s="23" t="s">
        <v>88</v>
      </c>
      <c r="D437" s="24" t="s">
        <v>89</v>
      </c>
      <c r="E437" s="23"/>
      <c r="F437" s="25">
        <v>2010</v>
      </c>
      <c r="G437" s="26" t="s">
        <v>1678</v>
      </c>
      <c r="H437" s="27">
        <v>816</v>
      </c>
      <c r="I437" s="37">
        <v>25</v>
      </c>
      <c r="J437" s="59">
        <v>612</v>
      </c>
      <c r="K437" s="42">
        <v>19.989999999999998</v>
      </c>
      <c r="L437" s="43" t="s">
        <v>272</v>
      </c>
      <c r="M437" s="26" t="s">
        <v>273</v>
      </c>
      <c r="N437" s="21" t="s">
        <v>1679</v>
      </c>
      <c r="O437" s="25">
        <v>240</v>
      </c>
      <c r="P437" s="28" t="s">
        <v>460</v>
      </c>
    </row>
    <row r="438" spans="1:16" s="4" customFormat="1" x14ac:dyDescent="0.25">
      <c r="A438" s="62" t="s">
        <v>1707</v>
      </c>
      <c r="B438" s="12">
        <v>9781137376619</v>
      </c>
      <c r="C438" s="13" t="s">
        <v>1052</v>
      </c>
      <c r="D438" s="14" t="str">
        <f>HYPERLINK("http://www.springer.com/gp/book/9781137376619","Private Property and State Power")</f>
        <v>Private Property and State Power</v>
      </c>
      <c r="E438" s="20" t="s">
        <v>1053</v>
      </c>
      <c r="F438" s="15" t="s">
        <v>700</v>
      </c>
      <c r="G438" s="16" t="s">
        <v>1525</v>
      </c>
      <c r="H438" s="17">
        <v>2660</v>
      </c>
      <c r="I438" s="37">
        <v>20</v>
      </c>
      <c r="J438" s="59">
        <v>2128</v>
      </c>
      <c r="K438" s="40">
        <v>84.99</v>
      </c>
      <c r="L438" s="41" t="s">
        <v>275</v>
      </c>
      <c r="M438" s="26" t="s">
        <v>274</v>
      </c>
      <c r="N438" s="11"/>
      <c r="O438" s="15"/>
      <c r="P438" s="16"/>
    </row>
    <row r="439" spans="1:16" s="4" customFormat="1" x14ac:dyDescent="0.25">
      <c r="A439" s="62" t="s">
        <v>1707</v>
      </c>
      <c r="B439" s="12">
        <v>9780333786765</v>
      </c>
      <c r="C439" s="13" t="s">
        <v>1054</v>
      </c>
      <c r="D439" s="14" t="str">
        <f>HYPERLINK("http://www.springer.com/gp/book/9780333786765","The New Palgrave Dictionary of Economics")</f>
        <v>The New Palgrave Dictionary of Economics</v>
      </c>
      <c r="E439" s="20"/>
      <c r="F439" s="15" t="s">
        <v>705</v>
      </c>
      <c r="G439" s="16" t="s">
        <v>1525</v>
      </c>
      <c r="H439" s="17">
        <v>98530</v>
      </c>
      <c r="I439" s="37">
        <v>25</v>
      </c>
      <c r="J439" s="59">
        <v>73898</v>
      </c>
      <c r="K439" s="40">
        <v>3209</v>
      </c>
      <c r="L439" s="41" t="s">
        <v>275</v>
      </c>
      <c r="M439" s="26" t="s">
        <v>274</v>
      </c>
      <c r="N439" s="21" t="s">
        <v>1679</v>
      </c>
      <c r="O439" s="15"/>
      <c r="P439" s="16"/>
    </row>
    <row r="440" spans="1:16" s="4" customFormat="1" x14ac:dyDescent="0.25">
      <c r="A440" s="64" t="s">
        <v>1707</v>
      </c>
      <c r="B440" s="29">
        <v>9781137297525</v>
      </c>
      <c r="C440" s="30" t="s">
        <v>176</v>
      </c>
      <c r="D440" s="31" t="s">
        <v>177</v>
      </c>
      <c r="E440" s="30"/>
      <c r="F440" s="32">
        <v>2013</v>
      </c>
      <c r="G440" s="19" t="s">
        <v>4</v>
      </c>
      <c r="H440" s="33">
        <v>1265</v>
      </c>
      <c r="I440" s="37">
        <v>20</v>
      </c>
      <c r="J440" s="59">
        <v>1012</v>
      </c>
      <c r="K440" s="44">
        <v>30.99</v>
      </c>
      <c r="L440" s="45" t="s">
        <v>272</v>
      </c>
      <c r="M440" s="19" t="s">
        <v>273</v>
      </c>
      <c r="N440" s="21" t="s">
        <v>1680</v>
      </c>
      <c r="O440" s="18">
        <v>440</v>
      </c>
      <c r="P440" s="19" t="s">
        <v>1635</v>
      </c>
    </row>
    <row r="441" spans="1:16" s="4" customFormat="1" x14ac:dyDescent="0.25">
      <c r="A441" s="64" t="s">
        <v>1707</v>
      </c>
      <c r="B441" s="29">
        <v>9780230342170</v>
      </c>
      <c r="C441" s="30" t="s">
        <v>212</v>
      </c>
      <c r="D441" s="31" t="s">
        <v>213</v>
      </c>
      <c r="E441" s="30" t="s">
        <v>1551</v>
      </c>
      <c r="F441" s="32">
        <v>2013</v>
      </c>
      <c r="G441" s="19" t="s">
        <v>4</v>
      </c>
      <c r="H441" s="33">
        <v>751</v>
      </c>
      <c r="I441" s="37">
        <v>20</v>
      </c>
      <c r="J441" s="59">
        <v>601</v>
      </c>
      <c r="K441" s="44">
        <v>17.989999999999998</v>
      </c>
      <c r="L441" s="45" t="s">
        <v>272</v>
      </c>
      <c r="M441" s="19" t="s">
        <v>274</v>
      </c>
      <c r="N441" s="29"/>
      <c r="O441" s="18">
        <v>256</v>
      </c>
      <c r="P441" s="19" t="s">
        <v>1552</v>
      </c>
    </row>
    <row r="442" spans="1:16" s="4" customFormat="1" x14ac:dyDescent="0.25">
      <c r="A442" s="63" t="s">
        <v>1708</v>
      </c>
      <c r="B442" s="22">
        <v>9780230237377</v>
      </c>
      <c r="C442" s="23" t="s">
        <v>79</v>
      </c>
      <c r="D442" s="24" t="s">
        <v>590</v>
      </c>
      <c r="E442" s="23"/>
      <c r="F442" s="25">
        <v>2010</v>
      </c>
      <c r="G442" s="26" t="s">
        <v>1678</v>
      </c>
      <c r="H442" s="27">
        <v>938</v>
      </c>
      <c r="I442" s="37">
        <v>25</v>
      </c>
      <c r="J442" s="59">
        <v>704</v>
      </c>
      <c r="K442" s="42">
        <v>22.99</v>
      </c>
      <c r="L442" s="43" t="s">
        <v>272</v>
      </c>
      <c r="M442" s="26" t="s">
        <v>273</v>
      </c>
      <c r="N442" s="21"/>
      <c r="O442" s="25">
        <v>232</v>
      </c>
      <c r="P442" s="28" t="s">
        <v>591</v>
      </c>
    </row>
    <row r="443" spans="1:16" s="4" customFormat="1" x14ac:dyDescent="0.25">
      <c r="A443" s="63" t="s">
        <v>1695</v>
      </c>
      <c r="B443" s="22">
        <v>9780230368316</v>
      </c>
      <c r="C443" s="23" t="s">
        <v>33</v>
      </c>
      <c r="D443" s="24" t="s">
        <v>34</v>
      </c>
      <c r="E443" s="23"/>
      <c r="F443" s="25">
        <v>2013</v>
      </c>
      <c r="G443" s="26" t="s">
        <v>1678</v>
      </c>
      <c r="H443" s="27">
        <v>938</v>
      </c>
      <c r="I443" s="37">
        <v>20</v>
      </c>
      <c r="J443" s="59">
        <v>750</v>
      </c>
      <c r="K443" s="42">
        <v>22.99</v>
      </c>
      <c r="L443" s="43" t="s">
        <v>272</v>
      </c>
      <c r="M443" s="26" t="s">
        <v>273</v>
      </c>
      <c r="N443" s="21" t="s">
        <v>1680</v>
      </c>
      <c r="O443" s="25">
        <v>464</v>
      </c>
      <c r="P443" s="28" t="s">
        <v>446</v>
      </c>
    </row>
    <row r="444" spans="1:16" s="4" customFormat="1" x14ac:dyDescent="0.25">
      <c r="A444" s="62" t="s">
        <v>1695</v>
      </c>
      <c r="B444" s="12">
        <v>9781137365934</v>
      </c>
      <c r="C444" s="13" t="s">
        <v>1076</v>
      </c>
      <c r="D444" s="14" t="str">
        <f>HYPERLINK("http://www.springer.com/gp/book/9781137365934","Contemporary Approaches in Literary Trauma Theory")</f>
        <v>Contemporary Approaches in Literary Trauma Theory</v>
      </c>
      <c r="E444" s="20"/>
      <c r="F444" s="15" t="s">
        <v>708</v>
      </c>
      <c r="G444" s="16" t="s">
        <v>1525</v>
      </c>
      <c r="H444" s="17">
        <v>2563</v>
      </c>
      <c r="I444" s="37">
        <v>20</v>
      </c>
      <c r="J444" s="59">
        <v>2050</v>
      </c>
      <c r="K444" s="40">
        <v>79.989999999999995</v>
      </c>
      <c r="L444" s="41" t="s">
        <v>275</v>
      </c>
      <c r="M444" s="26" t="s">
        <v>274</v>
      </c>
      <c r="N444" s="11"/>
      <c r="O444" s="15"/>
      <c r="P444" s="16"/>
    </row>
    <row r="445" spans="1:16" s="4" customFormat="1" x14ac:dyDescent="0.25">
      <c r="A445" s="62" t="s">
        <v>1695</v>
      </c>
      <c r="B445" s="12">
        <v>9780230239760</v>
      </c>
      <c r="C445" s="13" t="s">
        <v>1074</v>
      </c>
      <c r="D445" s="14" t="str">
        <f>HYPERLINK("http://www.springer.com/gp/book/9780230239760","Diplomacy and Early Modern Culture")</f>
        <v>Diplomacy and Early Modern Culture</v>
      </c>
      <c r="E445" s="20"/>
      <c r="F445" s="15" t="s">
        <v>714</v>
      </c>
      <c r="G445" s="16" t="s">
        <v>1525</v>
      </c>
      <c r="H445" s="17">
        <v>2723</v>
      </c>
      <c r="I445" s="37">
        <v>25</v>
      </c>
      <c r="J445" s="59">
        <v>2042</v>
      </c>
      <c r="K445" s="40">
        <v>86.99</v>
      </c>
      <c r="L445" s="41" t="s">
        <v>275</v>
      </c>
      <c r="M445" s="26" t="s">
        <v>274</v>
      </c>
      <c r="N445" s="11"/>
      <c r="O445" s="15"/>
      <c r="P445" s="16"/>
    </row>
    <row r="446" spans="1:16" s="4" customFormat="1" x14ac:dyDescent="0.25">
      <c r="A446" s="62" t="s">
        <v>1695</v>
      </c>
      <c r="B446" s="12">
        <v>9780230278776</v>
      </c>
      <c r="C446" s="13" t="s">
        <v>1085</v>
      </c>
      <c r="D446" s="14" t="str">
        <f>HYPERLINK("http://www.springer.com/gp/book/9780230278776","Imagining Iraq")</f>
        <v>Imagining Iraq</v>
      </c>
      <c r="E446" s="20" t="s">
        <v>1086</v>
      </c>
      <c r="F446" s="15" t="s">
        <v>714</v>
      </c>
      <c r="G446" s="16" t="s">
        <v>1525</v>
      </c>
      <c r="H446" s="17">
        <v>961</v>
      </c>
      <c r="I446" s="37">
        <v>25</v>
      </c>
      <c r="J446" s="59">
        <v>721</v>
      </c>
      <c r="K446" s="40">
        <v>29.99</v>
      </c>
      <c r="L446" s="41" t="s">
        <v>275</v>
      </c>
      <c r="M446" s="19" t="s">
        <v>273</v>
      </c>
      <c r="N446" s="11"/>
      <c r="O446" s="15"/>
      <c r="P446" s="16"/>
    </row>
    <row r="447" spans="1:16" s="4" customFormat="1" x14ac:dyDescent="0.25">
      <c r="A447" s="63" t="s">
        <v>1695</v>
      </c>
      <c r="B447" s="22">
        <v>9780333962589</v>
      </c>
      <c r="C447" s="23" t="s">
        <v>593</v>
      </c>
      <c r="D447" s="24" t="s">
        <v>92</v>
      </c>
      <c r="E447" s="23"/>
      <c r="F447" s="25">
        <v>2002</v>
      </c>
      <c r="G447" s="26" t="s">
        <v>1678</v>
      </c>
      <c r="H447" s="27">
        <v>816</v>
      </c>
      <c r="I447" s="38">
        <v>30</v>
      </c>
      <c r="J447" s="59">
        <v>571</v>
      </c>
      <c r="K447" s="42">
        <v>19.989999999999998</v>
      </c>
      <c r="L447" s="43" t="s">
        <v>272</v>
      </c>
      <c r="M447" s="26" t="s">
        <v>273</v>
      </c>
      <c r="N447" s="21" t="s">
        <v>1680</v>
      </c>
      <c r="O447" s="25">
        <v>256</v>
      </c>
      <c r="P447" s="28" t="s">
        <v>594</v>
      </c>
    </row>
    <row r="448" spans="1:16" s="4" customFormat="1" x14ac:dyDescent="0.25">
      <c r="A448" s="62" t="s">
        <v>1695</v>
      </c>
      <c r="B448" s="12">
        <v>9780230340893</v>
      </c>
      <c r="C448" s="13" t="s">
        <v>93</v>
      </c>
      <c r="D448" s="14" t="str">
        <f>HYPERLINK("http://www.springer.com/gp/book/9780230340893","Literature, Ethics, and Aesthetics")</f>
        <v>Literature, Ethics, and Aesthetics</v>
      </c>
      <c r="E448" s="20" t="s">
        <v>1073</v>
      </c>
      <c r="F448" s="15" t="s">
        <v>752</v>
      </c>
      <c r="G448" s="16" t="s">
        <v>1525</v>
      </c>
      <c r="H448" s="17">
        <v>2723</v>
      </c>
      <c r="I448" s="37">
        <v>20</v>
      </c>
      <c r="J448" s="59">
        <v>2178</v>
      </c>
      <c r="K448" s="40">
        <v>86.99</v>
      </c>
      <c r="L448" s="41" t="s">
        <v>275</v>
      </c>
      <c r="M448" s="26" t="s">
        <v>274</v>
      </c>
      <c r="N448" s="11"/>
      <c r="O448" s="15"/>
      <c r="P448" s="16"/>
    </row>
    <row r="449" spans="1:16" s="4" customFormat="1" x14ac:dyDescent="0.25">
      <c r="A449" s="62" t="s">
        <v>1695</v>
      </c>
      <c r="B449" s="12">
        <v>9781403987204</v>
      </c>
      <c r="C449" s="13" t="s">
        <v>1093</v>
      </c>
      <c r="D449" s="14" t="str">
        <f>HYPERLINK("http://www.springer.com/gp/book/9781403987204","Narratives of the European Border")</f>
        <v>Narratives of the European Border</v>
      </c>
      <c r="E449" s="20" t="s">
        <v>1094</v>
      </c>
      <c r="F449" s="15" t="s">
        <v>729</v>
      </c>
      <c r="G449" s="16" t="s">
        <v>1525</v>
      </c>
      <c r="H449" s="17">
        <v>3130</v>
      </c>
      <c r="I449" s="38">
        <v>30</v>
      </c>
      <c r="J449" s="59">
        <v>2191</v>
      </c>
      <c r="K449" s="40">
        <v>99.99</v>
      </c>
      <c r="L449" s="41" t="s">
        <v>275</v>
      </c>
      <c r="M449" s="26" t="s">
        <v>274</v>
      </c>
      <c r="N449" s="11"/>
      <c r="O449" s="15"/>
      <c r="P449" s="16"/>
    </row>
    <row r="450" spans="1:16" s="4" customFormat="1" x14ac:dyDescent="0.25">
      <c r="A450" s="63" t="s">
        <v>1695</v>
      </c>
      <c r="B450" s="22">
        <v>9780230249363</v>
      </c>
      <c r="C450" s="23" t="s">
        <v>439</v>
      </c>
      <c r="D450" s="24" t="s">
        <v>112</v>
      </c>
      <c r="E450" s="23"/>
      <c r="F450" s="25">
        <v>2010</v>
      </c>
      <c r="G450" s="26" t="s">
        <v>1678</v>
      </c>
      <c r="H450" s="27">
        <v>816</v>
      </c>
      <c r="I450" s="37">
        <v>25</v>
      </c>
      <c r="J450" s="59">
        <v>612</v>
      </c>
      <c r="K450" s="42">
        <v>19.989999999999998</v>
      </c>
      <c r="L450" s="43" t="s">
        <v>272</v>
      </c>
      <c r="M450" s="26" t="s">
        <v>273</v>
      </c>
      <c r="N450" s="21" t="s">
        <v>1679</v>
      </c>
      <c r="O450" s="25">
        <v>224</v>
      </c>
      <c r="P450" s="28" t="s">
        <v>440</v>
      </c>
    </row>
    <row r="451" spans="1:16" s="4" customFormat="1" x14ac:dyDescent="0.25">
      <c r="A451" s="63" t="s">
        <v>1695</v>
      </c>
      <c r="B451" s="22">
        <v>9780333599310</v>
      </c>
      <c r="C451" s="23" t="s">
        <v>635</v>
      </c>
      <c r="D451" s="24" t="s">
        <v>634</v>
      </c>
      <c r="E451" s="23"/>
      <c r="F451" s="25">
        <v>2009</v>
      </c>
      <c r="G451" s="26" t="s">
        <v>1678</v>
      </c>
      <c r="H451" s="27">
        <v>2653</v>
      </c>
      <c r="I451" s="37">
        <v>25</v>
      </c>
      <c r="J451" s="59">
        <v>1990</v>
      </c>
      <c r="K451" s="42">
        <v>65</v>
      </c>
      <c r="L451" s="43" t="s">
        <v>272</v>
      </c>
      <c r="M451" s="26" t="s">
        <v>274</v>
      </c>
      <c r="N451" s="21"/>
      <c r="O451" s="25">
        <v>304</v>
      </c>
      <c r="P451" s="28" t="s">
        <v>636</v>
      </c>
    </row>
    <row r="452" spans="1:16" s="4" customFormat="1" x14ac:dyDescent="0.25">
      <c r="A452" s="62" t="s">
        <v>1695</v>
      </c>
      <c r="B452" s="12">
        <v>9781403988270</v>
      </c>
      <c r="C452" s="13" t="s">
        <v>1075</v>
      </c>
      <c r="D452" s="14" t="str">
        <f>HYPERLINK("http://www.springer.com/gp/book/9781403988270","Teaching Chaucer")</f>
        <v>Teaching Chaucer</v>
      </c>
      <c r="E452" s="20"/>
      <c r="F452" s="15" t="s">
        <v>729</v>
      </c>
      <c r="G452" s="16" t="s">
        <v>1525</v>
      </c>
      <c r="H452" s="17">
        <v>961</v>
      </c>
      <c r="I452" s="38">
        <v>30</v>
      </c>
      <c r="J452" s="59">
        <v>673</v>
      </c>
      <c r="K452" s="40">
        <v>29.99</v>
      </c>
      <c r="L452" s="41" t="s">
        <v>275</v>
      </c>
      <c r="M452" s="19" t="s">
        <v>273</v>
      </c>
      <c r="N452" s="11"/>
      <c r="O452" s="15"/>
      <c r="P452" s="16"/>
    </row>
    <row r="453" spans="1:16" s="4" customFormat="1" x14ac:dyDescent="0.25">
      <c r="A453" s="62" t="s">
        <v>1695</v>
      </c>
      <c r="B453" s="12">
        <v>9780230520745</v>
      </c>
      <c r="C453" s="13" t="s">
        <v>1079</v>
      </c>
      <c r="D453" s="14" t="str">
        <f>HYPERLINK("http://www.springer.com/gp/book/9780230520745","Teaching Theory")</f>
        <v>Teaching Theory</v>
      </c>
      <c r="E453" s="20"/>
      <c r="F453" s="15" t="s">
        <v>714</v>
      </c>
      <c r="G453" s="16" t="s">
        <v>1525</v>
      </c>
      <c r="H453" s="17">
        <v>961</v>
      </c>
      <c r="I453" s="37">
        <v>25</v>
      </c>
      <c r="J453" s="59">
        <v>721</v>
      </c>
      <c r="K453" s="40">
        <v>29.99</v>
      </c>
      <c r="L453" s="41" t="s">
        <v>275</v>
      </c>
      <c r="M453" s="19" t="s">
        <v>273</v>
      </c>
      <c r="N453" s="11"/>
      <c r="O453" s="15"/>
      <c r="P453" s="16"/>
    </row>
    <row r="454" spans="1:16" s="4" customFormat="1" x14ac:dyDescent="0.25">
      <c r="A454" s="62" t="s">
        <v>1695</v>
      </c>
      <c r="B454" s="12">
        <v>9780230247550</v>
      </c>
      <c r="C454" s="13" t="s">
        <v>1087</v>
      </c>
      <c r="D454" s="14" t="str">
        <f>HYPERLINK("http://www.springer.com/gp/book/9780230247550","The History of Reading, Volume 2")</f>
        <v>The History of Reading, Volume 2</v>
      </c>
      <c r="E454" s="20" t="s">
        <v>1088</v>
      </c>
      <c r="F454" s="15" t="s">
        <v>714</v>
      </c>
      <c r="G454" s="16" t="s">
        <v>1525</v>
      </c>
      <c r="H454" s="17">
        <v>2563</v>
      </c>
      <c r="I454" s="37">
        <v>25</v>
      </c>
      <c r="J454" s="59">
        <v>1922</v>
      </c>
      <c r="K454" s="40">
        <v>79.989999999999995</v>
      </c>
      <c r="L454" s="41" t="s">
        <v>275</v>
      </c>
      <c r="M454" s="26" t="s">
        <v>274</v>
      </c>
      <c r="N454" s="11"/>
      <c r="O454" s="15"/>
      <c r="P454" s="16"/>
    </row>
    <row r="455" spans="1:16" s="4" customFormat="1" x14ac:dyDescent="0.25">
      <c r="A455" s="62" t="s">
        <v>1695</v>
      </c>
      <c r="B455" s="12">
        <v>9780230247567</v>
      </c>
      <c r="C455" s="13" t="s">
        <v>1080</v>
      </c>
      <c r="D455" s="14" t="str">
        <f>HYPERLINK("http://www.springer.com/gp/book/9780230247567","The History of Reading, Volume 3")</f>
        <v>The History of Reading, Volume 3</v>
      </c>
      <c r="E455" s="20" t="s">
        <v>1081</v>
      </c>
      <c r="F455" s="15" t="s">
        <v>714</v>
      </c>
      <c r="G455" s="16" t="s">
        <v>1525</v>
      </c>
      <c r="H455" s="17">
        <v>2660</v>
      </c>
      <c r="I455" s="37">
        <v>25</v>
      </c>
      <c r="J455" s="59">
        <v>1995</v>
      </c>
      <c r="K455" s="40">
        <v>84.99</v>
      </c>
      <c r="L455" s="41" t="s">
        <v>275</v>
      </c>
      <c r="M455" s="26" t="s">
        <v>274</v>
      </c>
      <c r="N455" s="11"/>
      <c r="O455" s="15"/>
      <c r="P455" s="16"/>
    </row>
    <row r="456" spans="1:16" s="4" customFormat="1" x14ac:dyDescent="0.25">
      <c r="A456" s="62" t="s">
        <v>1695</v>
      </c>
      <c r="B456" s="12">
        <v>9781137481368</v>
      </c>
      <c r="C456" s="13" t="s">
        <v>1091</v>
      </c>
      <c r="D456" s="14" t="str">
        <f>HYPERLINK("http://www.springer.com/gp/book/9781137481368","The Life and Poems of a Cuban Slave")</f>
        <v>The Life and Poems of a Cuban Slave</v>
      </c>
      <c r="E456" s="20" t="s">
        <v>1092</v>
      </c>
      <c r="F456" s="15" t="s">
        <v>708</v>
      </c>
      <c r="G456" s="16" t="s">
        <v>1525</v>
      </c>
      <c r="H456" s="17">
        <v>2563</v>
      </c>
      <c r="I456" s="37">
        <v>20</v>
      </c>
      <c r="J456" s="59">
        <v>2050</v>
      </c>
      <c r="K456" s="40">
        <v>79.989999999999995</v>
      </c>
      <c r="L456" s="41" t="s">
        <v>275</v>
      </c>
      <c r="M456" s="26" t="s">
        <v>274</v>
      </c>
      <c r="N456" s="21" t="s">
        <v>1679</v>
      </c>
      <c r="O456" s="15"/>
      <c r="P456" s="16"/>
    </row>
    <row r="457" spans="1:16" s="4" customFormat="1" x14ac:dyDescent="0.25">
      <c r="A457" s="62" t="s">
        <v>1695</v>
      </c>
      <c r="B457" s="12">
        <v>9780230008977</v>
      </c>
      <c r="C457" s="13" t="s">
        <v>1084</v>
      </c>
      <c r="D457" s="14" t="str">
        <f>HYPERLINK("http://www.springer.com/gp/book/9780230008977","The Palgrave Literary Dictionary of Byron")</f>
        <v>The Palgrave Literary Dictionary of Byron</v>
      </c>
      <c r="E457" s="20"/>
      <c r="F457" s="15" t="s">
        <v>688</v>
      </c>
      <c r="G457" s="16" t="s">
        <v>1525</v>
      </c>
      <c r="H457" s="17">
        <v>3599</v>
      </c>
      <c r="I457" s="37">
        <v>25</v>
      </c>
      <c r="J457" s="59">
        <v>2699</v>
      </c>
      <c r="K457" s="40">
        <v>114.99</v>
      </c>
      <c r="L457" s="41" t="s">
        <v>275</v>
      </c>
      <c r="M457" s="26" t="s">
        <v>274</v>
      </c>
      <c r="N457" s="11"/>
      <c r="O457" s="15"/>
      <c r="P457" s="16"/>
    </row>
    <row r="458" spans="1:16" s="4" customFormat="1" x14ac:dyDescent="0.25">
      <c r="A458" s="63" t="s">
        <v>1695</v>
      </c>
      <c r="B458" s="22">
        <v>9780230003507</v>
      </c>
      <c r="C458" s="23" t="s">
        <v>475</v>
      </c>
      <c r="D458" s="24" t="s">
        <v>474</v>
      </c>
      <c r="E458" s="23"/>
      <c r="F458" s="25">
        <v>2007</v>
      </c>
      <c r="G458" s="26" t="s">
        <v>1678</v>
      </c>
      <c r="H458" s="27">
        <v>1429</v>
      </c>
      <c r="I458" s="38">
        <v>30</v>
      </c>
      <c r="J458" s="59">
        <v>1000</v>
      </c>
      <c r="K458" s="42">
        <v>35</v>
      </c>
      <c r="L458" s="43" t="s">
        <v>272</v>
      </c>
      <c r="M458" s="26" t="s">
        <v>274</v>
      </c>
      <c r="N458" s="21"/>
      <c r="O458" s="25">
        <v>2552</v>
      </c>
      <c r="P458" s="28" t="s">
        <v>476</v>
      </c>
    </row>
    <row r="459" spans="1:16" s="4" customFormat="1" x14ac:dyDescent="0.25">
      <c r="A459" s="62" t="s">
        <v>1695</v>
      </c>
      <c r="B459" s="12">
        <v>9780230273511</v>
      </c>
      <c r="C459" s="13" t="s">
        <v>1077</v>
      </c>
      <c r="D459" s="14" t="str">
        <f>HYPERLINK("http://www.springer.com/gp/book/9780230273511","The Social Impact of the Arts")</f>
        <v>The Social Impact of the Arts</v>
      </c>
      <c r="E459" s="20" t="s">
        <v>1078</v>
      </c>
      <c r="F459" s="15" t="s">
        <v>705</v>
      </c>
      <c r="G459" s="16" t="s">
        <v>1525</v>
      </c>
      <c r="H459" s="17">
        <v>865</v>
      </c>
      <c r="I459" s="37">
        <v>25</v>
      </c>
      <c r="J459" s="59">
        <v>649</v>
      </c>
      <c r="K459" s="40">
        <v>26.99</v>
      </c>
      <c r="L459" s="41" t="s">
        <v>275</v>
      </c>
      <c r="M459" s="19" t="s">
        <v>273</v>
      </c>
      <c r="N459" s="11"/>
      <c r="O459" s="15"/>
      <c r="P459" s="16"/>
    </row>
    <row r="460" spans="1:16" s="4" customFormat="1" x14ac:dyDescent="0.25">
      <c r="A460" s="62" t="s">
        <v>1695</v>
      </c>
      <c r="B460" s="12">
        <v>9780230230743</v>
      </c>
      <c r="C460" s="13" t="s">
        <v>1089</v>
      </c>
      <c r="D460" s="14" t="str">
        <f>HYPERLINK("http://www.springer.com/gp/book/9780230230743","The Spectre at the Feast")</f>
        <v>The Spectre at the Feast</v>
      </c>
      <c r="E460" s="20" t="s">
        <v>1090</v>
      </c>
      <c r="F460" s="15" t="s">
        <v>696</v>
      </c>
      <c r="G460" s="16" t="s">
        <v>1525</v>
      </c>
      <c r="H460" s="17">
        <v>3286</v>
      </c>
      <c r="I460" s="37">
        <v>25</v>
      </c>
      <c r="J460" s="59">
        <v>2465</v>
      </c>
      <c r="K460" s="40">
        <v>104.99</v>
      </c>
      <c r="L460" s="41" t="s">
        <v>275</v>
      </c>
      <c r="M460" s="26" t="s">
        <v>274</v>
      </c>
      <c r="N460" s="11"/>
      <c r="O460" s="15"/>
      <c r="P460" s="16"/>
    </row>
    <row r="461" spans="1:16" s="4" customFormat="1" x14ac:dyDescent="0.25">
      <c r="A461" s="62" t="s">
        <v>1695</v>
      </c>
      <c r="B461" s="12">
        <v>9780230219519</v>
      </c>
      <c r="C461" s="13" t="s">
        <v>1082</v>
      </c>
      <c r="D461" s="14" t="str">
        <f>HYPERLINK("http://www.springer.com/gp/book/9780230219519","Tolkien, Race and Cultural History")</f>
        <v>Tolkien, Race and Cultural History</v>
      </c>
      <c r="E461" s="20" t="s">
        <v>1083</v>
      </c>
      <c r="F461" s="15" t="s">
        <v>696</v>
      </c>
      <c r="G461" s="16" t="s">
        <v>1525</v>
      </c>
      <c r="H461" s="17">
        <v>3286</v>
      </c>
      <c r="I461" s="37">
        <v>25</v>
      </c>
      <c r="J461" s="59">
        <v>2465</v>
      </c>
      <c r="K461" s="40">
        <v>104.99</v>
      </c>
      <c r="L461" s="41" t="s">
        <v>275</v>
      </c>
      <c r="M461" s="26" t="s">
        <v>274</v>
      </c>
      <c r="N461" s="11"/>
      <c r="O461" s="15"/>
      <c r="P461" s="16"/>
    </row>
    <row r="462" spans="1:16" s="4" customFormat="1" x14ac:dyDescent="0.25">
      <c r="A462" s="63" t="s">
        <v>665</v>
      </c>
      <c r="B462" s="22">
        <v>9780878934010</v>
      </c>
      <c r="C462" s="23" t="s">
        <v>468</v>
      </c>
      <c r="D462" s="24" t="s">
        <v>467</v>
      </c>
      <c r="E462" s="23"/>
      <c r="F462" s="25">
        <v>2010</v>
      </c>
      <c r="G462" s="26" t="s">
        <v>1678</v>
      </c>
      <c r="H462" s="27">
        <v>1796</v>
      </c>
      <c r="I462" s="37">
        <v>25</v>
      </c>
      <c r="J462" s="59">
        <v>1347</v>
      </c>
      <c r="K462" s="42">
        <v>43.99</v>
      </c>
      <c r="L462" s="43" t="s">
        <v>272</v>
      </c>
      <c r="M462" s="26" t="s">
        <v>273</v>
      </c>
      <c r="N462" s="21"/>
      <c r="O462" s="25">
        <v>224</v>
      </c>
      <c r="P462" s="28" t="s">
        <v>469</v>
      </c>
    </row>
    <row r="463" spans="1:16" s="4" customFormat="1" x14ac:dyDescent="0.25">
      <c r="A463" s="63" t="s">
        <v>665</v>
      </c>
      <c r="B463" s="22">
        <v>9780230275485</v>
      </c>
      <c r="C463" s="23" t="s">
        <v>342</v>
      </c>
      <c r="D463" s="24" t="s">
        <v>38</v>
      </c>
      <c r="E463" s="23"/>
      <c r="F463" s="25">
        <v>2011</v>
      </c>
      <c r="G463" s="26" t="s">
        <v>1678</v>
      </c>
      <c r="H463" s="27">
        <v>1918</v>
      </c>
      <c r="I463" s="37">
        <v>25</v>
      </c>
      <c r="J463" s="59">
        <v>1439</v>
      </c>
      <c r="K463" s="42">
        <v>46.99</v>
      </c>
      <c r="L463" s="43" t="s">
        <v>272</v>
      </c>
      <c r="M463" s="26" t="s">
        <v>273</v>
      </c>
      <c r="N463" s="21" t="s">
        <v>1682</v>
      </c>
      <c r="O463" s="25">
        <v>1136</v>
      </c>
      <c r="P463" s="28" t="s">
        <v>343</v>
      </c>
    </row>
    <row r="464" spans="1:16" s="4" customFormat="1" x14ac:dyDescent="0.25">
      <c r="A464" s="63" t="s">
        <v>665</v>
      </c>
      <c r="B464" s="22">
        <v>9781429241861</v>
      </c>
      <c r="C464" s="23" t="s">
        <v>684</v>
      </c>
      <c r="D464" s="24" t="s">
        <v>188</v>
      </c>
      <c r="E464" s="23"/>
      <c r="F464" s="25">
        <v>2013</v>
      </c>
      <c r="G464" s="26" t="s">
        <v>1678</v>
      </c>
      <c r="H464" s="27">
        <v>2327</v>
      </c>
      <c r="I464" s="37">
        <v>20</v>
      </c>
      <c r="J464" s="59">
        <v>1862</v>
      </c>
      <c r="K464" s="42">
        <v>56.99</v>
      </c>
      <c r="L464" s="43" t="s">
        <v>272</v>
      </c>
      <c r="M464" s="26" t="s">
        <v>274</v>
      </c>
      <c r="N464" s="21"/>
      <c r="O464" s="25">
        <v>1280</v>
      </c>
      <c r="P464" s="28" t="s">
        <v>685</v>
      </c>
    </row>
    <row r="465" spans="1:16" s="4" customFormat="1" x14ac:dyDescent="0.25">
      <c r="A465" s="63" t="s">
        <v>665</v>
      </c>
      <c r="B465" s="22">
        <v>9781429254335</v>
      </c>
      <c r="C465" s="23" t="s">
        <v>675</v>
      </c>
      <c r="D465" s="24" t="s">
        <v>674</v>
      </c>
      <c r="E465" s="23"/>
      <c r="F465" s="25">
        <v>2014</v>
      </c>
      <c r="G465" s="26" t="s">
        <v>1678</v>
      </c>
      <c r="H465" s="27">
        <v>2327</v>
      </c>
      <c r="I465" s="37">
        <v>20</v>
      </c>
      <c r="J465" s="59">
        <v>1862</v>
      </c>
      <c r="K465" s="42">
        <v>56.99</v>
      </c>
      <c r="L465" s="43" t="s">
        <v>272</v>
      </c>
      <c r="M465" s="26" t="s">
        <v>274</v>
      </c>
      <c r="N465" s="21"/>
      <c r="O465" s="25">
        <v>1113</v>
      </c>
      <c r="P465" s="28" t="s">
        <v>676</v>
      </c>
    </row>
    <row r="466" spans="1:16" s="4" customFormat="1" x14ac:dyDescent="0.25">
      <c r="A466" s="63" t="s">
        <v>665</v>
      </c>
      <c r="B466" s="22">
        <v>9780230216112</v>
      </c>
      <c r="C466" s="23" t="s">
        <v>470</v>
      </c>
      <c r="D466" s="24" t="s">
        <v>205</v>
      </c>
      <c r="E466" s="23"/>
      <c r="F466" s="25">
        <v>2008</v>
      </c>
      <c r="G466" s="26" t="s">
        <v>1678</v>
      </c>
      <c r="H466" s="27">
        <v>1673</v>
      </c>
      <c r="I466" s="37">
        <v>25</v>
      </c>
      <c r="J466" s="59">
        <v>1255</v>
      </c>
      <c r="K466" s="42">
        <v>40.99</v>
      </c>
      <c r="L466" s="43" t="s">
        <v>272</v>
      </c>
      <c r="M466" s="26" t="s">
        <v>273</v>
      </c>
      <c r="N466" s="21" t="s">
        <v>1680</v>
      </c>
      <c r="O466" s="25">
        <v>328</v>
      </c>
      <c r="P466" s="28" t="s">
        <v>471</v>
      </c>
    </row>
    <row r="467" spans="1:16" s="4" customFormat="1" x14ac:dyDescent="0.25">
      <c r="A467" s="63" t="s">
        <v>665</v>
      </c>
      <c r="B467" s="22">
        <v>9781137031204</v>
      </c>
      <c r="C467" s="23" t="s">
        <v>342</v>
      </c>
      <c r="D467" s="24" t="s">
        <v>64</v>
      </c>
      <c r="E467" s="23"/>
      <c r="F467" s="25">
        <v>2013</v>
      </c>
      <c r="G467" s="26" t="s">
        <v>1678</v>
      </c>
      <c r="H467" s="27">
        <v>2041</v>
      </c>
      <c r="I467" s="37">
        <v>20</v>
      </c>
      <c r="J467" s="59">
        <v>1633</v>
      </c>
      <c r="K467" s="42">
        <v>49.99</v>
      </c>
      <c r="L467" s="43" t="s">
        <v>272</v>
      </c>
      <c r="M467" s="26" t="s">
        <v>273</v>
      </c>
      <c r="N467" s="21" t="s">
        <v>1684</v>
      </c>
      <c r="O467" s="25">
        <v>1184</v>
      </c>
      <c r="P467" s="28" t="s">
        <v>449</v>
      </c>
    </row>
    <row r="468" spans="1:16" s="4" customFormat="1" x14ac:dyDescent="0.25">
      <c r="A468" s="63" t="s">
        <v>665</v>
      </c>
      <c r="B468" s="22">
        <v>9780230274792</v>
      </c>
      <c r="C468" s="23" t="s">
        <v>344</v>
      </c>
      <c r="D468" s="24" t="s">
        <v>65</v>
      </c>
      <c r="E468" s="23"/>
      <c r="F468" s="25">
        <v>2011</v>
      </c>
      <c r="G468" s="26" t="s">
        <v>1678</v>
      </c>
      <c r="H468" s="27">
        <v>1877</v>
      </c>
      <c r="I468" s="37">
        <v>25</v>
      </c>
      <c r="J468" s="59">
        <v>1408</v>
      </c>
      <c r="K468" s="42">
        <v>45.99</v>
      </c>
      <c r="L468" s="43" t="s">
        <v>272</v>
      </c>
      <c r="M468" s="26" t="s">
        <v>273</v>
      </c>
      <c r="N468" s="21" t="s">
        <v>1679</v>
      </c>
      <c r="O468" s="25">
        <v>944</v>
      </c>
      <c r="P468" s="28" t="s">
        <v>345</v>
      </c>
    </row>
    <row r="469" spans="1:16" s="4" customFormat="1" x14ac:dyDescent="0.25">
      <c r="A469" s="63" t="s">
        <v>665</v>
      </c>
      <c r="B469" s="34">
        <v>9780716799481</v>
      </c>
      <c r="C469" s="23" t="s">
        <v>187</v>
      </c>
      <c r="D469" s="24" t="s">
        <v>304</v>
      </c>
      <c r="E469" s="23"/>
      <c r="F469" s="25">
        <v>2008</v>
      </c>
      <c r="G469" s="19" t="s">
        <v>194</v>
      </c>
      <c r="H469" s="27">
        <v>3469</v>
      </c>
      <c r="I469" s="37">
        <v>25</v>
      </c>
      <c r="J469" s="59">
        <v>2602</v>
      </c>
      <c r="K469" s="42">
        <v>86.99</v>
      </c>
      <c r="L469" s="45" t="s">
        <v>272</v>
      </c>
      <c r="M469" s="19" t="s">
        <v>274</v>
      </c>
      <c r="N469" s="21" t="s">
        <v>1681</v>
      </c>
      <c r="O469" s="35">
        <v>500</v>
      </c>
      <c r="P469" s="19" t="s">
        <v>1601</v>
      </c>
    </row>
    <row r="470" spans="1:16" s="4" customFormat="1" x14ac:dyDescent="0.25">
      <c r="A470" s="63" t="s">
        <v>665</v>
      </c>
      <c r="B470" s="22">
        <v>9780230252080</v>
      </c>
      <c r="C470" s="23" t="s">
        <v>458</v>
      </c>
      <c r="D470" s="24" t="s">
        <v>457</v>
      </c>
      <c r="E470" s="23"/>
      <c r="F470" s="25">
        <v>2011</v>
      </c>
      <c r="G470" s="26" t="s">
        <v>1678</v>
      </c>
      <c r="H470" s="27">
        <v>1428</v>
      </c>
      <c r="I470" s="37">
        <v>25</v>
      </c>
      <c r="J470" s="59">
        <v>1071</v>
      </c>
      <c r="K470" s="42">
        <v>34.99</v>
      </c>
      <c r="L470" s="43" t="s">
        <v>272</v>
      </c>
      <c r="M470" s="26" t="s">
        <v>273</v>
      </c>
      <c r="N470" s="21"/>
      <c r="O470" s="25">
        <v>392</v>
      </c>
      <c r="P470" s="28" t="s">
        <v>459</v>
      </c>
    </row>
    <row r="471" spans="1:16" s="4" customFormat="1" x14ac:dyDescent="0.25">
      <c r="A471" s="63" t="s">
        <v>665</v>
      </c>
      <c r="B471" s="34">
        <v>9781429216227</v>
      </c>
      <c r="C471" s="23" t="s">
        <v>307</v>
      </c>
      <c r="D471" s="24" t="s">
        <v>308</v>
      </c>
      <c r="E471" s="23"/>
      <c r="F471" s="25">
        <v>2009</v>
      </c>
      <c r="G471" s="19" t="s">
        <v>194</v>
      </c>
      <c r="H471" s="27">
        <v>2204</v>
      </c>
      <c r="I471" s="37">
        <v>25</v>
      </c>
      <c r="J471" s="59">
        <v>1653</v>
      </c>
      <c r="K471" s="42">
        <v>53.99</v>
      </c>
      <c r="L471" s="45" t="s">
        <v>272</v>
      </c>
      <c r="M471" s="26" t="s">
        <v>274</v>
      </c>
      <c r="N471" s="21" t="s">
        <v>1683</v>
      </c>
      <c r="O471" s="35">
        <v>100</v>
      </c>
      <c r="P471" s="19" t="s">
        <v>1664</v>
      </c>
    </row>
    <row r="472" spans="1:16" s="4" customFormat="1" x14ac:dyDescent="0.25">
      <c r="A472" s="63" t="s">
        <v>665</v>
      </c>
      <c r="B472" s="22">
        <v>9780716768647</v>
      </c>
      <c r="C472" s="23" t="s">
        <v>664</v>
      </c>
      <c r="D472" s="24" t="s">
        <v>663</v>
      </c>
      <c r="E472" s="23"/>
      <c r="F472" s="25">
        <v>2006</v>
      </c>
      <c r="G472" s="26" t="s">
        <v>1678</v>
      </c>
      <c r="H472" s="27">
        <v>3184</v>
      </c>
      <c r="I472" s="38">
        <v>30</v>
      </c>
      <c r="J472" s="59">
        <v>2229</v>
      </c>
      <c r="K472" s="42">
        <v>77.989999999999995</v>
      </c>
      <c r="L472" s="43" t="s">
        <v>272</v>
      </c>
      <c r="M472" s="26" t="s">
        <v>274</v>
      </c>
      <c r="N472" s="21" t="s">
        <v>1683</v>
      </c>
      <c r="O472" s="25">
        <v>80</v>
      </c>
      <c r="P472" s="28" t="s">
        <v>666</v>
      </c>
    </row>
    <row r="473" spans="1:16" s="4" customFormat="1" x14ac:dyDescent="0.25">
      <c r="A473" s="63" t="s">
        <v>665</v>
      </c>
      <c r="B473" s="22">
        <v>9780878933914</v>
      </c>
      <c r="C473" s="23" t="s">
        <v>672</v>
      </c>
      <c r="D473" s="24" t="s">
        <v>323</v>
      </c>
      <c r="E473" s="23"/>
      <c r="F473" s="25">
        <v>2011</v>
      </c>
      <c r="G473" s="26" t="s">
        <v>1678</v>
      </c>
      <c r="H473" s="27">
        <v>1918</v>
      </c>
      <c r="I473" s="37">
        <v>25</v>
      </c>
      <c r="J473" s="59">
        <v>1439</v>
      </c>
      <c r="K473" s="42">
        <v>46.99</v>
      </c>
      <c r="L473" s="43" t="s">
        <v>272</v>
      </c>
      <c r="M473" s="26" t="s">
        <v>273</v>
      </c>
      <c r="N473" s="21"/>
      <c r="O473" s="25">
        <v>538</v>
      </c>
      <c r="P473" s="28" t="s">
        <v>673</v>
      </c>
    </row>
    <row r="474" spans="1:16" s="4" customFormat="1" x14ac:dyDescent="0.25">
      <c r="A474" s="63" t="s">
        <v>665</v>
      </c>
      <c r="B474" s="22">
        <v>9781464148262</v>
      </c>
      <c r="C474" s="23" t="s">
        <v>626</v>
      </c>
      <c r="D474" s="24" t="s">
        <v>625</v>
      </c>
      <c r="E474" s="23"/>
      <c r="F474" s="25">
        <v>2013</v>
      </c>
      <c r="G474" s="26" t="s">
        <v>1678</v>
      </c>
      <c r="H474" s="27">
        <v>2163</v>
      </c>
      <c r="I474" s="37">
        <v>20</v>
      </c>
      <c r="J474" s="59">
        <v>1730</v>
      </c>
      <c r="K474" s="42">
        <v>52.99</v>
      </c>
      <c r="L474" s="43" t="s">
        <v>272</v>
      </c>
      <c r="M474" s="26" t="s">
        <v>274</v>
      </c>
      <c r="N474" s="21"/>
      <c r="O474" s="25">
        <v>648</v>
      </c>
      <c r="P474" s="28" t="s">
        <v>627</v>
      </c>
    </row>
    <row r="475" spans="1:16" s="4" customFormat="1" x14ac:dyDescent="0.25">
      <c r="A475" s="63" t="s">
        <v>665</v>
      </c>
      <c r="B475" s="22">
        <v>9781464124358</v>
      </c>
      <c r="C475" s="23" t="s">
        <v>632</v>
      </c>
      <c r="D475" s="24" t="s">
        <v>269</v>
      </c>
      <c r="E475" s="23"/>
      <c r="F475" s="25">
        <v>2013</v>
      </c>
      <c r="G475" s="26" t="s">
        <v>1678</v>
      </c>
      <c r="H475" s="27">
        <v>1388</v>
      </c>
      <c r="I475" s="37">
        <v>20</v>
      </c>
      <c r="J475" s="59">
        <v>1110</v>
      </c>
      <c r="K475" s="42">
        <v>33.99</v>
      </c>
      <c r="L475" s="43" t="s">
        <v>272</v>
      </c>
      <c r="M475" s="26" t="s">
        <v>273</v>
      </c>
      <c r="N475" s="21" t="s">
        <v>1683</v>
      </c>
      <c r="O475" s="25">
        <v>755</v>
      </c>
      <c r="P475" s="28" t="s">
        <v>633</v>
      </c>
    </row>
    <row r="476" spans="1:16" s="4" customFormat="1" x14ac:dyDescent="0.25">
      <c r="A476" s="63" t="s">
        <v>665</v>
      </c>
      <c r="B476" s="34">
        <v>9781429245593</v>
      </c>
      <c r="C476" s="23" t="s">
        <v>300</v>
      </c>
      <c r="D476" s="24" t="s">
        <v>301</v>
      </c>
      <c r="E476" s="23"/>
      <c r="F476" s="25">
        <v>2011</v>
      </c>
      <c r="G476" s="19" t="s">
        <v>194</v>
      </c>
      <c r="H476" s="27">
        <v>5369</v>
      </c>
      <c r="I476" s="37">
        <v>25</v>
      </c>
      <c r="J476" s="59">
        <v>4027</v>
      </c>
      <c r="K476" s="42">
        <v>134.65</v>
      </c>
      <c r="L476" s="45" t="s">
        <v>272</v>
      </c>
      <c r="M476" s="26" t="s">
        <v>274</v>
      </c>
      <c r="N476" s="21" t="s">
        <v>1681</v>
      </c>
      <c r="O476" s="35">
        <v>858</v>
      </c>
      <c r="P476" s="19" t="s">
        <v>1670</v>
      </c>
    </row>
    <row r="477" spans="1:16" s="4" customFormat="1" x14ac:dyDescent="0.25">
      <c r="A477" s="62" t="s">
        <v>1692</v>
      </c>
      <c r="B477" s="12">
        <v>9781137409386</v>
      </c>
      <c r="C477" s="13" t="s">
        <v>835</v>
      </c>
      <c r="D477" s="14" t="str">
        <f>HYPERLINK("http://www.springer.com/gp/book/9781137409386","A Genre Approach to Celebrity Politics")</f>
        <v>A Genre Approach to Celebrity Politics</v>
      </c>
      <c r="E477" s="20" t="s">
        <v>836</v>
      </c>
      <c r="F477" s="15" t="s">
        <v>694</v>
      </c>
      <c r="G477" s="16" t="s">
        <v>1525</v>
      </c>
      <c r="H477" s="17">
        <v>2660</v>
      </c>
      <c r="I477" s="37">
        <v>20</v>
      </c>
      <c r="J477" s="59">
        <v>2128</v>
      </c>
      <c r="K477" s="40">
        <v>84.99</v>
      </c>
      <c r="L477" s="41" t="s">
        <v>275</v>
      </c>
      <c r="M477" s="26" t="s">
        <v>274</v>
      </c>
      <c r="N477" s="11"/>
      <c r="O477" s="15"/>
      <c r="P477" s="16"/>
    </row>
    <row r="478" spans="1:16" s="4" customFormat="1" x14ac:dyDescent="0.25">
      <c r="A478" s="62" t="s">
        <v>1692</v>
      </c>
      <c r="B478" s="12">
        <v>9780230537422</v>
      </c>
      <c r="C478" s="13" t="s">
        <v>214</v>
      </c>
      <c r="D478" s="14" t="str">
        <f>HYPERLINK("http://www.springer.com/gp/book/9780230537422","Becoming Europeans")</f>
        <v>Becoming Europeans</v>
      </c>
      <c r="E478" s="20" t="s">
        <v>837</v>
      </c>
      <c r="F478" s="15" t="s">
        <v>696</v>
      </c>
      <c r="G478" s="16" t="s">
        <v>1525</v>
      </c>
      <c r="H478" s="17">
        <v>3130</v>
      </c>
      <c r="I478" s="37">
        <v>25</v>
      </c>
      <c r="J478" s="59">
        <v>2348</v>
      </c>
      <c r="K478" s="40">
        <v>99.99</v>
      </c>
      <c r="L478" s="41" t="s">
        <v>275</v>
      </c>
      <c r="M478" s="26" t="s">
        <v>274</v>
      </c>
      <c r="N478" s="11"/>
      <c r="O478" s="15"/>
      <c r="P478" s="16"/>
    </row>
    <row r="479" spans="1:16" s="4" customFormat="1" x14ac:dyDescent="0.25">
      <c r="A479" s="62" t="s">
        <v>1692</v>
      </c>
      <c r="B479" s="12">
        <v>9781137033468</v>
      </c>
      <c r="C479" s="13" t="s">
        <v>801</v>
      </c>
      <c r="D479" s="14" t="str">
        <f>HYPERLINK("http://www.springer.com/gp/book/9781137033468","Digital Culture Industry")</f>
        <v>Digital Culture Industry</v>
      </c>
      <c r="E479" s="20" t="s">
        <v>802</v>
      </c>
      <c r="F479" s="15" t="s">
        <v>700</v>
      </c>
      <c r="G479" s="16" t="s">
        <v>1525</v>
      </c>
      <c r="H479" s="17">
        <v>2563</v>
      </c>
      <c r="I479" s="37">
        <v>20</v>
      </c>
      <c r="J479" s="59">
        <v>2050</v>
      </c>
      <c r="K479" s="40">
        <v>79.989999999999995</v>
      </c>
      <c r="L479" s="41" t="s">
        <v>275</v>
      </c>
      <c r="M479" s="26" t="s">
        <v>274</v>
      </c>
      <c r="N479" s="11"/>
      <c r="O479" s="15"/>
      <c r="P479" s="16"/>
    </row>
    <row r="480" spans="1:16" s="4" customFormat="1" x14ac:dyDescent="0.25">
      <c r="A480" s="62" t="s">
        <v>1692</v>
      </c>
      <c r="B480" s="12">
        <v>9781137393616</v>
      </c>
      <c r="C480" s="13" t="s">
        <v>842</v>
      </c>
      <c r="D480" s="14" t="str">
        <f>HYPERLINK("http://www.springer.com/gp/book/9781137393616","Digital Media and Society")</f>
        <v>Digital Media and Society</v>
      </c>
      <c r="E480" s="20" t="s">
        <v>843</v>
      </c>
      <c r="F480" s="15" t="s">
        <v>708</v>
      </c>
      <c r="G480" s="16" t="s">
        <v>1525</v>
      </c>
      <c r="H480" s="17">
        <v>2817</v>
      </c>
      <c r="I480" s="37">
        <v>20</v>
      </c>
      <c r="J480" s="59">
        <v>2254</v>
      </c>
      <c r="K480" s="40">
        <v>89.99</v>
      </c>
      <c r="L480" s="41" t="s">
        <v>275</v>
      </c>
      <c r="M480" s="26" t="s">
        <v>274</v>
      </c>
      <c r="N480" s="11"/>
      <c r="O480" s="15"/>
      <c r="P480" s="16"/>
    </row>
    <row r="481" spans="1:16" s="4" customFormat="1" x14ac:dyDescent="0.25">
      <c r="A481" s="62" t="s">
        <v>1692</v>
      </c>
      <c r="B481" s="12">
        <v>9780230218819</v>
      </c>
      <c r="C481" s="13" t="s">
        <v>803</v>
      </c>
      <c r="D481" s="14" t="str">
        <f>HYPERLINK("http://www.springer.com/gp/book/9780230218819","Globalization, Political Violence and Translation")</f>
        <v>Globalization, Political Violence and Translation</v>
      </c>
      <c r="E481" s="20"/>
      <c r="F481" s="15" t="s">
        <v>696</v>
      </c>
      <c r="G481" s="16" t="s">
        <v>1525</v>
      </c>
      <c r="H481" s="17">
        <v>3130</v>
      </c>
      <c r="I481" s="37">
        <v>25</v>
      </c>
      <c r="J481" s="59">
        <v>2348</v>
      </c>
      <c r="K481" s="40">
        <v>99.99</v>
      </c>
      <c r="L481" s="41" t="s">
        <v>275</v>
      </c>
      <c r="M481" s="26" t="s">
        <v>274</v>
      </c>
      <c r="N481" s="11"/>
      <c r="O481" s="15"/>
      <c r="P481" s="16"/>
    </row>
    <row r="482" spans="1:16" s="4" customFormat="1" x14ac:dyDescent="0.25">
      <c r="A482" s="62" t="s">
        <v>1692</v>
      </c>
      <c r="B482" s="12">
        <v>9781137440426</v>
      </c>
      <c r="C482" s="13" t="s">
        <v>826</v>
      </c>
      <c r="D482" s="14" t="str">
        <f>HYPERLINK("http://www.springer.com/gp/book/9781137440426","Humanities Computing")</f>
        <v>Humanities Computing</v>
      </c>
      <c r="E482" s="20"/>
      <c r="F482" s="15" t="s">
        <v>691</v>
      </c>
      <c r="G482" s="16" t="s">
        <v>1525</v>
      </c>
      <c r="H482" s="17">
        <v>961</v>
      </c>
      <c r="I482" s="38">
        <v>30</v>
      </c>
      <c r="J482" s="59">
        <v>673</v>
      </c>
      <c r="K482" s="40">
        <v>29.99</v>
      </c>
      <c r="L482" s="41" t="s">
        <v>275</v>
      </c>
      <c r="M482" s="19" t="s">
        <v>273</v>
      </c>
      <c r="N482" s="11"/>
      <c r="O482" s="15"/>
      <c r="P482" s="16"/>
    </row>
    <row r="483" spans="1:16" s="4" customFormat="1" x14ac:dyDescent="0.25">
      <c r="A483" s="62" t="s">
        <v>1692</v>
      </c>
      <c r="B483" s="29">
        <v>9781403901491</v>
      </c>
      <c r="C483" s="30" t="s">
        <v>99</v>
      </c>
      <c r="D483" s="31" t="s">
        <v>100</v>
      </c>
      <c r="E483" s="30" t="s">
        <v>1636</v>
      </c>
      <c r="F483" s="32">
        <v>2003</v>
      </c>
      <c r="G483" s="19" t="s">
        <v>4</v>
      </c>
      <c r="H483" s="33">
        <v>898</v>
      </c>
      <c r="I483" s="38">
        <v>30</v>
      </c>
      <c r="J483" s="59">
        <v>629</v>
      </c>
      <c r="K483" s="44">
        <v>21.99</v>
      </c>
      <c r="L483" s="45" t="s">
        <v>272</v>
      </c>
      <c r="M483" s="19" t="s">
        <v>273</v>
      </c>
      <c r="N483" s="21" t="s">
        <v>1679</v>
      </c>
      <c r="O483" s="18">
        <v>384</v>
      </c>
      <c r="P483" s="19" t="s">
        <v>1637</v>
      </c>
    </row>
    <row r="484" spans="1:16" s="4" customFormat="1" x14ac:dyDescent="0.25">
      <c r="A484" s="62" t="s">
        <v>1692</v>
      </c>
      <c r="B484" s="12">
        <v>9781137337832</v>
      </c>
      <c r="C484" s="13" t="s">
        <v>833</v>
      </c>
      <c r="D484" s="14" t="str">
        <f>HYPERLINK("http://www.springer.com/gp/book/9781137337832","Media Policies Revisited")</f>
        <v>Media Policies Revisited</v>
      </c>
      <c r="E484" s="20" t="s">
        <v>834</v>
      </c>
      <c r="F484" s="15" t="s">
        <v>708</v>
      </c>
      <c r="G484" s="16" t="s">
        <v>1525</v>
      </c>
      <c r="H484" s="17">
        <v>2563</v>
      </c>
      <c r="I484" s="37">
        <v>20</v>
      </c>
      <c r="J484" s="59">
        <v>2050</v>
      </c>
      <c r="K484" s="40">
        <v>79.989999999999995</v>
      </c>
      <c r="L484" s="41" t="s">
        <v>275</v>
      </c>
      <c r="M484" s="26" t="s">
        <v>274</v>
      </c>
      <c r="N484" s="11"/>
      <c r="O484" s="15"/>
      <c r="P484" s="16"/>
    </row>
    <row r="485" spans="1:16" s="4" customFormat="1" x14ac:dyDescent="0.25">
      <c r="A485" s="62" t="s">
        <v>1692</v>
      </c>
      <c r="B485" s="12">
        <v>9780230251649</v>
      </c>
      <c r="C485" s="13" t="s">
        <v>225</v>
      </c>
      <c r="D485" s="14" t="str">
        <f>HYPERLINK("http://www.springer.com/gp/book/9780230251649","Politicians and Rhetoric")</f>
        <v>Politicians and Rhetoric</v>
      </c>
      <c r="E485" s="20" t="s">
        <v>809</v>
      </c>
      <c r="F485" s="15" t="s">
        <v>714</v>
      </c>
      <c r="G485" s="16" t="s">
        <v>1525</v>
      </c>
      <c r="H485" s="17">
        <v>3756</v>
      </c>
      <c r="I485" s="37">
        <v>25</v>
      </c>
      <c r="J485" s="59">
        <v>2817</v>
      </c>
      <c r="K485" s="40">
        <v>119.99</v>
      </c>
      <c r="L485" s="41" t="s">
        <v>275</v>
      </c>
      <c r="M485" s="26" t="s">
        <v>274</v>
      </c>
      <c r="N485" s="21" t="s">
        <v>1679</v>
      </c>
      <c r="O485" s="15"/>
      <c r="P485" s="16"/>
    </row>
    <row r="486" spans="1:16" s="4" customFormat="1" x14ac:dyDescent="0.25">
      <c r="A486" s="62" t="s">
        <v>1692</v>
      </c>
      <c r="B486" s="12">
        <v>9781137017543</v>
      </c>
      <c r="C486" s="13" t="s">
        <v>814</v>
      </c>
      <c r="D486" s="14" t="str">
        <f>HYPERLINK("http://www.springer.com/gp/book/9781137017543","Private Television in Western Europe")</f>
        <v>Private Television in Western Europe</v>
      </c>
      <c r="E486" s="20" t="s">
        <v>815</v>
      </c>
      <c r="F486" s="15" t="s">
        <v>700</v>
      </c>
      <c r="G486" s="16" t="s">
        <v>1525</v>
      </c>
      <c r="H486" s="17">
        <v>2723</v>
      </c>
      <c r="I486" s="37">
        <v>20</v>
      </c>
      <c r="J486" s="59">
        <v>2178</v>
      </c>
      <c r="K486" s="40">
        <v>86.99</v>
      </c>
      <c r="L486" s="41" t="s">
        <v>275</v>
      </c>
      <c r="M486" s="26" t="s">
        <v>274</v>
      </c>
      <c r="N486" s="11"/>
      <c r="O486" s="15"/>
      <c r="P486" s="16"/>
    </row>
    <row r="487" spans="1:16" s="4" customFormat="1" x14ac:dyDescent="0.25">
      <c r="A487" s="62" t="s">
        <v>1692</v>
      </c>
      <c r="B487" s="12">
        <v>9780230320369</v>
      </c>
      <c r="C487" s="13" t="s">
        <v>804</v>
      </c>
      <c r="D487" s="14" t="str">
        <f>HYPERLINK("http://www.springer.com/gp/book/9780230320369","Sharing our Lives Online")</f>
        <v>Sharing our Lives Online</v>
      </c>
      <c r="E487" s="20" t="s">
        <v>805</v>
      </c>
      <c r="F487" s="15" t="s">
        <v>708</v>
      </c>
      <c r="G487" s="16" t="s">
        <v>1525</v>
      </c>
      <c r="H487" s="17">
        <v>801</v>
      </c>
      <c r="I487" s="37">
        <v>20</v>
      </c>
      <c r="J487" s="59">
        <v>641</v>
      </c>
      <c r="K487" s="40">
        <v>24.99</v>
      </c>
      <c r="L487" s="41" t="s">
        <v>275</v>
      </c>
      <c r="M487" s="19" t="s">
        <v>273</v>
      </c>
      <c r="N487" s="11"/>
      <c r="O487" s="15"/>
      <c r="P487" s="16"/>
    </row>
    <row r="488" spans="1:16" s="4" customFormat="1" x14ac:dyDescent="0.25">
      <c r="A488" s="62" t="s">
        <v>1692</v>
      </c>
      <c r="B488" s="12">
        <v>9781137268303</v>
      </c>
      <c r="C488" s="13" t="s">
        <v>810</v>
      </c>
      <c r="D488" s="14" t="str">
        <f>HYPERLINK("http://www.springer.com/gp/book/9781137268303","Technology and Touch")</f>
        <v>Technology and Touch</v>
      </c>
      <c r="E488" s="20" t="s">
        <v>811</v>
      </c>
      <c r="F488" s="15" t="s">
        <v>700</v>
      </c>
      <c r="G488" s="16" t="s">
        <v>1525</v>
      </c>
      <c r="H488" s="17">
        <v>2467</v>
      </c>
      <c r="I488" s="37">
        <v>20</v>
      </c>
      <c r="J488" s="59">
        <v>1974</v>
      </c>
      <c r="K488" s="40">
        <v>76.989999999999995</v>
      </c>
      <c r="L488" s="41" t="s">
        <v>275</v>
      </c>
      <c r="M488" s="26" t="s">
        <v>274</v>
      </c>
      <c r="N488" s="11"/>
      <c r="O488" s="15"/>
      <c r="P488" s="16"/>
    </row>
    <row r="489" spans="1:16" s="4" customFormat="1" x14ac:dyDescent="0.25">
      <c r="A489" s="63" t="s">
        <v>1709</v>
      </c>
      <c r="B489" s="22">
        <v>9780230271531</v>
      </c>
      <c r="C489" s="23" t="s">
        <v>228</v>
      </c>
      <c r="D489" s="24" t="s">
        <v>604</v>
      </c>
      <c r="E489" s="23"/>
      <c r="F489" s="25">
        <v>2012</v>
      </c>
      <c r="G489" s="26" t="s">
        <v>1678</v>
      </c>
      <c r="H489" s="27">
        <v>1143</v>
      </c>
      <c r="I489" s="37">
        <v>20</v>
      </c>
      <c r="J489" s="59">
        <v>914</v>
      </c>
      <c r="K489" s="42">
        <v>27.99</v>
      </c>
      <c r="L489" s="43" t="s">
        <v>272</v>
      </c>
      <c r="M489" s="26" t="s">
        <v>273</v>
      </c>
      <c r="N489" s="21"/>
      <c r="O489" s="25">
        <v>256</v>
      </c>
      <c r="P489" s="28" t="s">
        <v>605</v>
      </c>
    </row>
    <row r="490" spans="1:16" s="4" customFormat="1" x14ac:dyDescent="0.25">
      <c r="A490" s="62" t="s">
        <v>1692</v>
      </c>
      <c r="B490" s="12">
        <v>9780230222274</v>
      </c>
      <c r="C490" s="13" t="s">
        <v>823</v>
      </c>
      <c r="D490" s="14" t="str">
        <f>HYPERLINK("http://www.springer.com/gp/book/9780230222274","The Economic Performance of the European Union")</f>
        <v>The Economic Performance of the European Union</v>
      </c>
      <c r="E490" s="20" t="s">
        <v>824</v>
      </c>
      <c r="F490" s="15" t="s">
        <v>696</v>
      </c>
      <c r="G490" s="16" t="s">
        <v>1525</v>
      </c>
      <c r="H490" s="17">
        <v>3756</v>
      </c>
      <c r="I490" s="37">
        <v>25</v>
      </c>
      <c r="J490" s="59">
        <v>2817</v>
      </c>
      <c r="K490" s="40">
        <v>119.99</v>
      </c>
      <c r="L490" s="41" t="s">
        <v>275</v>
      </c>
      <c r="M490" s="26" t="s">
        <v>274</v>
      </c>
      <c r="N490" s="11"/>
      <c r="O490" s="15"/>
      <c r="P490" s="16"/>
    </row>
    <row r="491" spans="1:16" s="4" customFormat="1" x14ac:dyDescent="0.25">
      <c r="A491" s="63" t="s">
        <v>1709</v>
      </c>
      <c r="B491" s="22">
        <v>9780230244573</v>
      </c>
      <c r="C491" s="23" t="s">
        <v>540</v>
      </c>
      <c r="D491" s="24" t="s">
        <v>160</v>
      </c>
      <c r="E491" s="23"/>
      <c r="F491" s="25">
        <v>2011</v>
      </c>
      <c r="G491" s="26" t="s">
        <v>1678</v>
      </c>
      <c r="H491" s="27">
        <v>1102</v>
      </c>
      <c r="I491" s="37">
        <v>25</v>
      </c>
      <c r="J491" s="59">
        <v>827</v>
      </c>
      <c r="K491" s="42">
        <v>26.99</v>
      </c>
      <c r="L491" s="43" t="s">
        <v>272</v>
      </c>
      <c r="M491" s="26" t="s">
        <v>273</v>
      </c>
      <c r="N491" s="21" t="s">
        <v>1679</v>
      </c>
      <c r="O491" s="25">
        <v>268</v>
      </c>
      <c r="P491" s="28" t="s">
        <v>541</v>
      </c>
    </row>
    <row r="492" spans="1:16" s="4" customFormat="1" x14ac:dyDescent="0.25">
      <c r="A492" s="62" t="s">
        <v>1692</v>
      </c>
      <c r="B492" s="12">
        <v>9781137502032</v>
      </c>
      <c r="C492" s="13" t="s">
        <v>820</v>
      </c>
      <c r="D492" s="14" t="str">
        <f>HYPERLINK("http://www.springer.com/gp/book/9781137502032","The Science of Why")</f>
        <v>The Science of Why</v>
      </c>
      <c r="E492" s="20" t="s">
        <v>821</v>
      </c>
      <c r="F492" s="15" t="s">
        <v>694</v>
      </c>
      <c r="G492" s="16" t="s">
        <v>1525</v>
      </c>
      <c r="H492" s="17">
        <v>865</v>
      </c>
      <c r="I492" s="37">
        <v>20</v>
      </c>
      <c r="J492" s="59">
        <v>692</v>
      </c>
      <c r="K492" s="40">
        <v>26.99</v>
      </c>
      <c r="L492" s="41" t="s">
        <v>275</v>
      </c>
      <c r="M492" s="26" t="s">
        <v>274</v>
      </c>
      <c r="N492" s="11"/>
      <c r="O492" s="15"/>
      <c r="P492" s="16"/>
    </row>
    <row r="493" spans="1:16" s="4" customFormat="1" x14ac:dyDescent="0.25">
      <c r="A493" s="62" t="s">
        <v>1692</v>
      </c>
      <c r="B493" s="12">
        <v>9781137434364</v>
      </c>
      <c r="C493" s="13" t="s">
        <v>840</v>
      </c>
      <c r="D493" s="14" t="str">
        <f>HYPERLINK("http://www.springer.com/gp/book/9781137434364","Transmedia Archaeology")</f>
        <v>Transmedia Archaeology</v>
      </c>
      <c r="E493" s="20" t="s">
        <v>841</v>
      </c>
      <c r="F493" s="15" t="s">
        <v>708</v>
      </c>
      <c r="G493" s="16" t="s">
        <v>1525</v>
      </c>
      <c r="H493" s="17">
        <v>2083</v>
      </c>
      <c r="I493" s="37">
        <v>20</v>
      </c>
      <c r="J493" s="59">
        <v>1666</v>
      </c>
      <c r="K493" s="40">
        <v>64.989999999999995</v>
      </c>
      <c r="L493" s="41" t="s">
        <v>275</v>
      </c>
      <c r="M493" s="26" t="s">
        <v>274</v>
      </c>
      <c r="N493" s="11"/>
      <c r="O493" s="15"/>
      <c r="P493" s="16"/>
    </row>
    <row r="494" spans="1:16" s="4" customFormat="1" x14ac:dyDescent="0.25">
      <c r="A494" s="64" t="s">
        <v>1533</v>
      </c>
      <c r="B494" s="29">
        <v>9780878937547</v>
      </c>
      <c r="C494" s="30" t="s">
        <v>192</v>
      </c>
      <c r="D494" s="31" t="s">
        <v>1612</v>
      </c>
      <c r="E494" s="30" t="s">
        <v>1611</v>
      </c>
      <c r="F494" s="32">
        <v>2005</v>
      </c>
      <c r="G494" s="19" t="s">
        <v>14</v>
      </c>
      <c r="H494" s="33">
        <v>1673</v>
      </c>
      <c r="I494" s="38">
        <v>30</v>
      </c>
      <c r="J494" s="59">
        <v>1171</v>
      </c>
      <c r="K494" s="44">
        <v>40.99</v>
      </c>
      <c r="L494" s="45" t="s">
        <v>272</v>
      </c>
      <c r="M494" s="19" t="s">
        <v>274</v>
      </c>
      <c r="N494" s="21" t="s">
        <v>1681</v>
      </c>
      <c r="O494" s="18">
        <v>615</v>
      </c>
      <c r="P494" s="19" t="s">
        <v>1613</v>
      </c>
    </row>
    <row r="495" spans="1:16" s="4" customFormat="1" x14ac:dyDescent="0.25">
      <c r="A495" s="64" t="s">
        <v>1533</v>
      </c>
      <c r="B495" s="29">
        <v>9780333777381</v>
      </c>
      <c r="C495" s="30" t="s">
        <v>5</v>
      </c>
      <c r="D495" s="31" t="s">
        <v>1581</v>
      </c>
      <c r="E495" s="30"/>
      <c r="F495" s="32">
        <v>2003</v>
      </c>
      <c r="G495" s="19" t="s">
        <v>4</v>
      </c>
      <c r="H495" s="33">
        <v>1143</v>
      </c>
      <c r="I495" s="38">
        <v>30</v>
      </c>
      <c r="J495" s="59">
        <v>800</v>
      </c>
      <c r="K495" s="44">
        <v>27.99</v>
      </c>
      <c r="L495" s="45" t="s">
        <v>272</v>
      </c>
      <c r="M495" s="19" t="s">
        <v>273</v>
      </c>
      <c r="N495" s="29"/>
      <c r="O495" s="18">
        <v>504</v>
      </c>
      <c r="P495" s="19" t="s">
        <v>1582</v>
      </c>
    </row>
    <row r="496" spans="1:16" s="4" customFormat="1" x14ac:dyDescent="0.25">
      <c r="A496" s="64" t="s">
        <v>1533</v>
      </c>
      <c r="B496" s="29">
        <v>9781403935434</v>
      </c>
      <c r="C496" s="30" t="s">
        <v>101</v>
      </c>
      <c r="D496" s="31" t="s">
        <v>1643</v>
      </c>
      <c r="E496" s="30" t="s">
        <v>1642</v>
      </c>
      <c r="F496" s="32">
        <v>2006</v>
      </c>
      <c r="G496" s="19" t="s">
        <v>4</v>
      </c>
      <c r="H496" s="33">
        <v>938</v>
      </c>
      <c r="I496" s="38">
        <v>30</v>
      </c>
      <c r="J496" s="59">
        <v>657</v>
      </c>
      <c r="K496" s="44">
        <v>22.99</v>
      </c>
      <c r="L496" s="45" t="s">
        <v>272</v>
      </c>
      <c r="M496" s="19" t="s">
        <v>273</v>
      </c>
      <c r="N496" s="29"/>
      <c r="O496" s="18">
        <v>256</v>
      </c>
      <c r="P496" s="19" t="s">
        <v>1644</v>
      </c>
    </row>
    <row r="497" spans="1:16" s="4" customFormat="1" x14ac:dyDescent="0.25">
      <c r="A497" s="64" t="s">
        <v>1533</v>
      </c>
      <c r="B497" s="29">
        <v>9780878935482</v>
      </c>
      <c r="C497" s="30" t="s">
        <v>10</v>
      </c>
      <c r="D497" s="31" t="s">
        <v>1605</v>
      </c>
      <c r="E497" s="30" t="s">
        <v>1604</v>
      </c>
      <c r="F497" s="32">
        <v>2007</v>
      </c>
      <c r="G497" s="19" t="s">
        <v>194</v>
      </c>
      <c r="H497" s="33">
        <v>1993</v>
      </c>
      <c r="I497" s="38">
        <v>30</v>
      </c>
      <c r="J497" s="59">
        <v>1395</v>
      </c>
      <c r="K497" s="44">
        <v>44.39</v>
      </c>
      <c r="L497" s="45" t="s">
        <v>272</v>
      </c>
      <c r="M497" s="19" t="s">
        <v>1606</v>
      </c>
      <c r="N497" s="21" t="s">
        <v>1679</v>
      </c>
      <c r="O497" s="18">
        <v>151</v>
      </c>
      <c r="P497" s="19" t="s">
        <v>1607</v>
      </c>
    </row>
    <row r="498" spans="1:16" s="4" customFormat="1" x14ac:dyDescent="0.25">
      <c r="A498" s="64" t="s">
        <v>1533</v>
      </c>
      <c r="B498" s="29">
        <v>9780878937257</v>
      </c>
      <c r="C498" s="30" t="s">
        <v>11</v>
      </c>
      <c r="D498" s="31" t="s">
        <v>1609</v>
      </c>
      <c r="E498" s="30"/>
      <c r="F498" s="32">
        <v>2004</v>
      </c>
      <c r="G498" s="19" t="s">
        <v>14</v>
      </c>
      <c r="H498" s="33">
        <v>1918</v>
      </c>
      <c r="I498" s="38">
        <v>30</v>
      </c>
      <c r="J498" s="59">
        <v>1343</v>
      </c>
      <c r="K498" s="44">
        <v>46.99</v>
      </c>
      <c r="L498" s="45" t="s">
        <v>272</v>
      </c>
      <c r="M498" s="19" t="s">
        <v>274</v>
      </c>
      <c r="N498" s="21" t="s">
        <v>1680</v>
      </c>
      <c r="O498" s="18">
        <v>680</v>
      </c>
      <c r="P498" s="19" t="s">
        <v>1610</v>
      </c>
    </row>
    <row r="499" spans="1:16" s="4" customFormat="1" x14ac:dyDescent="0.25">
      <c r="A499" s="64" t="s">
        <v>1533</v>
      </c>
      <c r="B499" s="29">
        <v>9780878936946</v>
      </c>
      <c r="C499" s="30" t="s">
        <v>12</v>
      </c>
      <c r="D499" s="31" t="s">
        <v>13</v>
      </c>
      <c r="E499" s="30"/>
      <c r="F499" s="32">
        <v>2008</v>
      </c>
      <c r="G499" s="19" t="s">
        <v>14</v>
      </c>
      <c r="H499" s="33">
        <v>1837</v>
      </c>
      <c r="I499" s="37">
        <v>25</v>
      </c>
      <c r="J499" s="59">
        <v>1378</v>
      </c>
      <c r="K499" s="44">
        <v>44.99</v>
      </c>
      <c r="L499" s="45" t="s">
        <v>272</v>
      </c>
      <c r="M499" s="19" t="s">
        <v>274</v>
      </c>
      <c r="N499" s="29"/>
      <c r="O499" s="18">
        <v>757</v>
      </c>
      <c r="P499" s="19" t="s">
        <v>1608</v>
      </c>
    </row>
    <row r="500" spans="1:16" s="4" customFormat="1" x14ac:dyDescent="0.25">
      <c r="A500" s="64" t="s">
        <v>1533</v>
      </c>
      <c r="B500" s="29">
        <v>9780230617537</v>
      </c>
      <c r="C500" s="30" t="s">
        <v>20</v>
      </c>
      <c r="D500" s="31" t="s">
        <v>21</v>
      </c>
      <c r="E500" s="30" t="s">
        <v>1571</v>
      </c>
      <c r="F500" s="32">
        <v>2009</v>
      </c>
      <c r="G500" s="19" t="s">
        <v>4</v>
      </c>
      <c r="H500" s="33">
        <v>668</v>
      </c>
      <c r="I500" s="37">
        <v>25</v>
      </c>
      <c r="J500" s="59">
        <v>501</v>
      </c>
      <c r="K500" s="44">
        <v>15.99</v>
      </c>
      <c r="L500" s="45" t="s">
        <v>272</v>
      </c>
      <c r="M500" s="19" t="s">
        <v>273</v>
      </c>
      <c r="N500" s="29"/>
      <c r="O500" s="18">
        <v>256</v>
      </c>
      <c r="P500" s="19" t="s">
        <v>1572</v>
      </c>
    </row>
    <row r="501" spans="1:16" s="4" customFormat="1" x14ac:dyDescent="0.25">
      <c r="A501" s="64" t="s">
        <v>1533</v>
      </c>
      <c r="B501" s="29">
        <v>9780230107595</v>
      </c>
      <c r="C501" s="30" t="s">
        <v>231</v>
      </c>
      <c r="D501" s="31" t="s">
        <v>232</v>
      </c>
      <c r="E501" s="30"/>
      <c r="F501" s="32">
        <v>2013</v>
      </c>
      <c r="G501" s="19" t="s">
        <v>4</v>
      </c>
      <c r="H501" s="33">
        <v>793</v>
      </c>
      <c r="I501" s="37">
        <v>20</v>
      </c>
      <c r="J501" s="59">
        <v>634</v>
      </c>
      <c r="K501" s="44">
        <v>18.989999999999998</v>
      </c>
      <c r="L501" s="45" t="s">
        <v>272</v>
      </c>
      <c r="M501" s="19" t="s">
        <v>274</v>
      </c>
      <c r="N501" s="29"/>
      <c r="O501" s="18">
        <v>208</v>
      </c>
      <c r="P501" s="19" t="s">
        <v>1532</v>
      </c>
    </row>
    <row r="502" spans="1:16" s="4" customFormat="1" x14ac:dyDescent="0.25">
      <c r="A502" s="64" t="s">
        <v>1533</v>
      </c>
      <c r="B502" s="29">
        <v>9781403945006</v>
      </c>
      <c r="C502" s="30" t="s">
        <v>170</v>
      </c>
      <c r="D502" s="31" t="s">
        <v>171</v>
      </c>
      <c r="E502" s="30" t="s">
        <v>1646</v>
      </c>
      <c r="F502" s="32">
        <v>2005</v>
      </c>
      <c r="G502" s="19" t="s">
        <v>4</v>
      </c>
      <c r="H502" s="33">
        <v>1633</v>
      </c>
      <c r="I502" s="38">
        <v>30</v>
      </c>
      <c r="J502" s="59">
        <v>1143</v>
      </c>
      <c r="K502" s="44">
        <v>39.99</v>
      </c>
      <c r="L502" s="45" t="s">
        <v>272</v>
      </c>
      <c r="M502" s="19" t="s">
        <v>274</v>
      </c>
      <c r="N502" s="29"/>
      <c r="O502" s="18">
        <v>192</v>
      </c>
      <c r="P502" s="19" t="s">
        <v>1647</v>
      </c>
    </row>
    <row r="503" spans="1:16" s="4" customFormat="1" x14ac:dyDescent="0.25">
      <c r="A503" s="62" t="s">
        <v>1694</v>
      </c>
      <c r="B503" s="12">
        <v>9781137263933</v>
      </c>
      <c r="C503" s="13" t="s">
        <v>1051</v>
      </c>
      <c r="D503" s="14" t="str">
        <f>HYPERLINK("http://www.springer.com/gp/book/9781137263933","Journalism and Memory")</f>
        <v>Journalism and Memory</v>
      </c>
      <c r="E503" s="20"/>
      <c r="F503" s="15" t="s">
        <v>708</v>
      </c>
      <c r="G503" s="16" t="s">
        <v>1525</v>
      </c>
      <c r="H503" s="17">
        <v>961</v>
      </c>
      <c r="I503" s="37">
        <v>20</v>
      </c>
      <c r="J503" s="59">
        <v>769</v>
      </c>
      <c r="K503" s="40">
        <v>29.99</v>
      </c>
      <c r="L503" s="41" t="s">
        <v>275</v>
      </c>
      <c r="M503" s="19" t="s">
        <v>273</v>
      </c>
      <c r="N503" s="11"/>
      <c r="O503" s="15"/>
      <c r="P503" s="16"/>
    </row>
    <row r="504" spans="1:16" s="4" customFormat="1" x14ac:dyDescent="0.25">
      <c r="A504" s="62" t="s">
        <v>1694</v>
      </c>
      <c r="B504" s="12">
        <v>9780230320260</v>
      </c>
      <c r="C504" s="13" t="s">
        <v>1037</v>
      </c>
      <c r="D504" s="14" t="str">
        <f>HYPERLINK("http://www.springer.com/gp/book/9780230320260","Remembering Diana")</f>
        <v>Remembering Diana</v>
      </c>
      <c r="E504" s="20" t="s">
        <v>1038</v>
      </c>
      <c r="F504" s="15" t="s">
        <v>700</v>
      </c>
      <c r="G504" s="16" t="s">
        <v>1525</v>
      </c>
      <c r="H504" s="17">
        <v>2723</v>
      </c>
      <c r="I504" s="37">
        <v>20</v>
      </c>
      <c r="J504" s="59">
        <v>2178</v>
      </c>
      <c r="K504" s="40">
        <v>86.99</v>
      </c>
      <c r="L504" s="41" t="s">
        <v>275</v>
      </c>
      <c r="M504" s="26" t="s">
        <v>274</v>
      </c>
      <c r="N504" s="11"/>
      <c r="O504" s="15"/>
      <c r="P504" s="16"/>
    </row>
    <row r="505" spans="1:16" s="4" customFormat="1" x14ac:dyDescent="0.25">
      <c r="A505" s="62" t="s">
        <v>1702</v>
      </c>
      <c r="B505" s="12">
        <v>9780230222335</v>
      </c>
      <c r="C505" s="13" t="s">
        <v>1116</v>
      </c>
      <c r="D505" s="14" t="str">
        <f>HYPERLINK("http://www.springer.com/gp/book/9780230222335","New Waves in Metaphysics")</f>
        <v>New Waves in Metaphysics</v>
      </c>
      <c r="E505" s="20"/>
      <c r="F505" s="15" t="s">
        <v>688</v>
      </c>
      <c r="G505" s="16" t="s">
        <v>1525</v>
      </c>
      <c r="H505" s="17">
        <v>961</v>
      </c>
      <c r="I505" s="37">
        <v>25</v>
      </c>
      <c r="J505" s="59">
        <v>721</v>
      </c>
      <c r="K505" s="40">
        <v>29.99</v>
      </c>
      <c r="L505" s="41" t="s">
        <v>275</v>
      </c>
      <c r="M505" s="19" t="s">
        <v>273</v>
      </c>
      <c r="N505" s="11"/>
      <c r="O505" s="15"/>
      <c r="P505" s="16"/>
    </row>
    <row r="506" spans="1:16" s="4" customFormat="1" x14ac:dyDescent="0.25">
      <c r="A506" s="62" t="s">
        <v>463</v>
      </c>
      <c r="B506" s="12">
        <v>9781137286291</v>
      </c>
      <c r="C506" s="13" t="s">
        <v>1098</v>
      </c>
      <c r="D506" s="14" t="str">
        <f>HYPERLINK("http://www.springer.com/gp/book/9781137286291","Assisted Suicide: The Liberal, Humanist Case Against Legalization")</f>
        <v>Assisted Suicide: The Liberal, Humanist Case Against Legalization</v>
      </c>
      <c r="E506" s="20"/>
      <c r="F506" s="15" t="s">
        <v>694</v>
      </c>
      <c r="G506" s="16" t="s">
        <v>1525</v>
      </c>
      <c r="H506" s="17">
        <v>2723</v>
      </c>
      <c r="I506" s="37">
        <v>20</v>
      </c>
      <c r="J506" s="59">
        <v>2178</v>
      </c>
      <c r="K506" s="40">
        <v>86.99</v>
      </c>
      <c r="L506" s="41" t="s">
        <v>275</v>
      </c>
      <c r="M506" s="26" t="s">
        <v>274</v>
      </c>
      <c r="N506" s="11"/>
      <c r="O506" s="15"/>
      <c r="P506" s="16"/>
    </row>
    <row r="507" spans="1:16" s="4" customFormat="1" x14ac:dyDescent="0.25">
      <c r="A507" s="63" t="s">
        <v>463</v>
      </c>
      <c r="B507" s="22">
        <v>9780230279940</v>
      </c>
      <c r="C507" s="23" t="s">
        <v>556</v>
      </c>
      <c r="D507" s="24" t="s">
        <v>555</v>
      </c>
      <c r="E507" s="23"/>
      <c r="F507" s="25">
        <v>2012</v>
      </c>
      <c r="G507" s="26" t="s">
        <v>1678</v>
      </c>
      <c r="H507" s="27">
        <v>979</v>
      </c>
      <c r="I507" s="37">
        <v>20</v>
      </c>
      <c r="J507" s="59">
        <v>783</v>
      </c>
      <c r="K507" s="42">
        <v>23.99</v>
      </c>
      <c r="L507" s="43" t="s">
        <v>272</v>
      </c>
      <c r="M507" s="26" t="s">
        <v>273</v>
      </c>
      <c r="N507" s="21"/>
      <c r="O507" s="25">
        <v>192</v>
      </c>
      <c r="P507" s="28" t="s">
        <v>557</v>
      </c>
    </row>
    <row r="508" spans="1:16" s="4" customFormat="1" x14ac:dyDescent="0.25">
      <c r="A508" s="63" t="s">
        <v>463</v>
      </c>
      <c r="B508" s="22">
        <v>9780333993545</v>
      </c>
      <c r="C508" s="23" t="s">
        <v>656</v>
      </c>
      <c r="D508" s="24" t="s">
        <v>655</v>
      </c>
      <c r="E508" s="23"/>
      <c r="F508" s="25">
        <v>2003</v>
      </c>
      <c r="G508" s="26" t="s">
        <v>1678</v>
      </c>
      <c r="H508" s="27">
        <v>1224</v>
      </c>
      <c r="I508" s="38">
        <v>30</v>
      </c>
      <c r="J508" s="59">
        <v>857</v>
      </c>
      <c r="K508" s="42">
        <v>29.99</v>
      </c>
      <c r="L508" s="43" t="s">
        <v>272</v>
      </c>
      <c r="M508" s="26" t="s">
        <v>273</v>
      </c>
      <c r="N508" s="21"/>
      <c r="O508" s="25">
        <v>232</v>
      </c>
      <c r="P508" s="28" t="s">
        <v>657</v>
      </c>
    </row>
    <row r="509" spans="1:16" s="4" customFormat="1" x14ac:dyDescent="0.25">
      <c r="A509" s="63" t="s">
        <v>463</v>
      </c>
      <c r="B509" s="22">
        <v>9781403942234</v>
      </c>
      <c r="C509" s="23" t="s">
        <v>490</v>
      </c>
      <c r="D509" s="24" t="s">
        <v>113</v>
      </c>
      <c r="E509" s="23"/>
      <c r="F509" s="25">
        <v>2006</v>
      </c>
      <c r="G509" s="26" t="s">
        <v>1678</v>
      </c>
      <c r="H509" s="27">
        <v>1183</v>
      </c>
      <c r="I509" s="38">
        <v>30</v>
      </c>
      <c r="J509" s="59">
        <v>828</v>
      </c>
      <c r="K509" s="42">
        <v>28.99</v>
      </c>
      <c r="L509" s="43" t="s">
        <v>272</v>
      </c>
      <c r="M509" s="26" t="s">
        <v>273</v>
      </c>
      <c r="N509" s="21"/>
      <c r="O509" s="25">
        <v>240</v>
      </c>
      <c r="P509" s="28" t="s">
        <v>491</v>
      </c>
    </row>
    <row r="510" spans="1:16" s="4" customFormat="1" x14ac:dyDescent="0.25">
      <c r="A510" s="63" t="s">
        <v>463</v>
      </c>
      <c r="B510" s="22">
        <v>9781403943118</v>
      </c>
      <c r="C510" s="23" t="s">
        <v>370</v>
      </c>
      <c r="D510" s="24" t="s">
        <v>118</v>
      </c>
      <c r="E510" s="23"/>
      <c r="F510" s="25">
        <v>2006</v>
      </c>
      <c r="G510" s="26" t="s">
        <v>1678</v>
      </c>
      <c r="H510" s="27">
        <v>1183</v>
      </c>
      <c r="I510" s="38">
        <v>30</v>
      </c>
      <c r="J510" s="59">
        <v>828</v>
      </c>
      <c r="K510" s="42">
        <v>28.99</v>
      </c>
      <c r="L510" s="43" t="s">
        <v>272</v>
      </c>
      <c r="M510" s="26" t="s">
        <v>273</v>
      </c>
      <c r="N510" s="21"/>
      <c r="O510" s="25">
        <v>240</v>
      </c>
      <c r="P510" s="28" t="s">
        <v>371</v>
      </c>
    </row>
    <row r="511" spans="1:16" s="4" customFormat="1" x14ac:dyDescent="0.25">
      <c r="A511" s="63" t="s">
        <v>463</v>
      </c>
      <c r="B511" s="22">
        <v>9781403946270</v>
      </c>
      <c r="C511" s="23" t="s">
        <v>462</v>
      </c>
      <c r="D511" s="24" t="s">
        <v>461</v>
      </c>
      <c r="E511" s="23"/>
      <c r="F511" s="25">
        <v>2006</v>
      </c>
      <c r="G511" s="26" t="s">
        <v>1678</v>
      </c>
      <c r="H511" s="27">
        <v>1183</v>
      </c>
      <c r="I511" s="38">
        <v>30</v>
      </c>
      <c r="J511" s="59">
        <v>828</v>
      </c>
      <c r="K511" s="42">
        <v>28.99</v>
      </c>
      <c r="L511" s="43" t="s">
        <v>272</v>
      </c>
      <c r="M511" s="26" t="s">
        <v>273</v>
      </c>
      <c r="N511" s="21"/>
      <c r="O511" s="25">
        <v>208</v>
      </c>
      <c r="P511" s="28" t="s">
        <v>464</v>
      </c>
    </row>
    <row r="512" spans="1:16" s="4" customFormat="1" x14ac:dyDescent="0.25">
      <c r="A512" s="62" t="s">
        <v>463</v>
      </c>
      <c r="B512" s="12">
        <v>9780230219199</v>
      </c>
      <c r="C512" s="13" t="s">
        <v>137</v>
      </c>
      <c r="D512" s="14" t="str">
        <f>HYPERLINK("http://www.springer.com/gp/book/9780230219199","The Business Leader's Health Manual")</f>
        <v>The Business Leader's Health Manual</v>
      </c>
      <c r="E512" s="20" t="s">
        <v>1095</v>
      </c>
      <c r="F512" s="15" t="s">
        <v>696</v>
      </c>
      <c r="G512" s="16" t="s">
        <v>1525</v>
      </c>
      <c r="H512" s="17">
        <v>1602</v>
      </c>
      <c r="I512" s="37">
        <v>25</v>
      </c>
      <c r="J512" s="59">
        <v>1202</v>
      </c>
      <c r="K512" s="40">
        <v>49.99</v>
      </c>
      <c r="L512" s="41" t="s">
        <v>275</v>
      </c>
      <c r="M512" s="26" t="s">
        <v>274</v>
      </c>
      <c r="N512" s="11"/>
      <c r="O512" s="15"/>
      <c r="P512" s="16"/>
    </row>
    <row r="513" spans="1:16" s="4" customFormat="1" x14ac:dyDescent="0.25">
      <c r="A513" s="62" t="s">
        <v>1703</v>
      </c>
      <c r="B513" s="12">
        <v>9780230237629</v>
      </c>
      <c r="C513" s="13" t="s">
        <v>1131</v>
      </c>
      <c r="D513" s="14" t="str">
        <f>HYPERLINK("http://www.springer.com/gp/book/9780230237629","Capitalist Sorcery")</f>
        <v>Capitalist Sorcery</v>
      </c>
      <c r="E513" s="20" t="s">
        <v>1132</v>
      </c>
      <c r="F513" s="15" t="s">
        <v>729</v>
      </c>
      <c r="G513" s="16" t="s">
        <v>1525</v>
      </c>
      <c r="H513" s="17">
        <v>2723</v>
      </c>
      <c r="I513" s="38">
        <v>30</v>
      </c>
      <c r="J513" s="59">
        <v>1906</v>
      </c>
      <c r="K513" s="40">
        <v>86.99</v>
      </c>
      <c r="L513" s="41" t="s">
        <v>275</v>
      </c>
      <c r="M513" s="26" t="s">
        <v>274</v>
      </c>
      <c r="N513" s="11"/>
      <c r="O513" s="15"/>
      <c r="P513" s="16"/>
    </row>
    <row r="514" spans="1:16" s="4" customFormat="1" x14ac:dyDescent="0.25">
      <c r="A514" s="62" t="s">
        <v>1703</v>
      </c>
      <c r="B514" s="12">
        <v>9780230275652</v>
      </c>
      <c r="C514" s="13" t="s">
        <v>1128</v>
      </c>
      <c r="D514" s="14" t="str">
        <f>HYPERLINK("http://www.springer.com/gp/book/9780230275652","Critical Theory and Political Engagement")</f>
        <v>Critical Theory and Political Engagement</v>
      </c>
      <c r="E514" s="20" t="s">
        <v>1129</v>
      </c>
      <c r="F514" s="15" t="s">
        <v>700</v>
      </c>
      <c r="G514" s="16" t="s">
        <v>1525</v>
      </c>
      <c r="H514" s="17">
        <v>2467</v>
      </c>
      <c r="I514" s="37">
        <v>20</v>
      </c>
      <c r="J514" s="59">
        <v>1974</v>
      </c>
      <c r="K514" s="40">
        <v>76.989999999999995</v>
      </c>
      <c r="L514" s="41" t="s">
        <v>275</v>
      </c>
      <c r="M514" s="26" t="s">
        <v>274</v>
      </c>
      <c r="N514" s="11"/>
      <c r="O514" s="15"/>
      <c r="P514" s="16"/>
    </row>
    <row r="515" spans="1:16" s="4" customFormat="1" x14ac:dyDescent="0.25">
      <c r="A515" s="62" t="s">
        <v>1703</v>
      </c>
      <c r="B515" s="12">
        <v>9780230535312</v>
      </c>
      <c r="C515" s="13" t="s">
        <v>1126</v>
      </c>
      <c r="D515" s="14" t="str">
        <f>HYPERLINK("http://www.springer.com/gp/book/9780230535312","Dialectics for the New Century")</f>
        <v>Dialectics for the New Century</v>
      </c>
      <c r="E515" s="20"/>
      <c r="F515" s="15" t="s">
        <v>705</v>
      </c>
      <c r="G515" s="16" t="s">
        <v>1525</v>
      </c>
      <c r="H515" s="17">
        <v>3443</v>
      </c>
      <c r="I515" s="37">
        <v>25</v>
      </c>
      <c r="J515" s="59">
        <v>2582</v>
      </c>
      <c r="K515" s="40">
        <v>109.99</v>
      </c>
      <c r="L515" s="41" t="s">
        <v>275</v>
      </c>
      <c r="M515" s="26" t="s">
        <v>274</v>
      </c>
      <c r="N515" s="11"/>
      <c r="O515" s="15"/>
      <c r="P515" s="16"/>
    </row>
    <row r="516" spans="1:16" s="4" customFormat="1" x14ac:dyDescent="0.25">
      <c r="A516" s="62" t="s">
        <v>1703</v>
      </c>
      <c r="B516" s="12">
        <v>9781137027825</v>
      </c>
      <c r="C516" s="13" t="s">
        <v>24</v>
      </c>
      <c r="D516" s="14" t="str">
        <f>HYPERLINK("http://www.springer.com/gp/book/9781137027825","Education in the Age of Biocapitalism")</f>
        <v>Education in the Age of Biocapitalism</v>
      </c>
      <c r="E516" s="20" t="s">
        <v>1130</v>
      </c>
      <c r="F516" s="15" t="s">
        <v>700</v>
      </c>
      <c r="G516" s="16" t="s">
        <v>1525</v>
      </c>
      <c r="H516" s="17">
        <v>961</v>
      </c>
      <c r="I516" s="37">
        <v>20</v>
      </c>
      <c r="J516" s="59">
        <v>769</v>
      </c>
      <c r="K516" s="40">
        <v>29.99</v>
      </c>
      <c r="L516" s="41" t="s">
        <v>275</v>
      </c>
      <c r="M516" s="19" t="s">
        <v>273</v>
      </c>
      <c r="N516" s="11"/>
      <c r="O516" s="15"/>
      <c r="P516" s="16"/>
    </row>
    <row r="517" spans="1:16" s="4" customFormat="1" x14ac:dyDescent="0.25">
      <c r="A517" s="62" t="s">
        <v>1703</v>
      </c>
      <c r="B517" s="12">
        <v>9781137002921</v>
      </c>
      <c r="C517" s="13" t="s">
        <v>1141</v>
      </c>
      <c r="D517" s="14" t="str">
        <f>HYPERLINK("http://www.springer.com/gp/book/9781137002921","Ethics on the Laboratory Floor")</f>
        <v>Ethics on the Laboratory Floor</v>
      </c>
      <c r="E517" s="20"/>
      <c r="F517" s="15" t="s">
        <v>700</v>
      </c>
      <c r="G517" s="16" t="s">
        <v>1525</v>
      </c>
      <c r="H517" s="17">
        <v>2660</v>
      </c>
      <c r="I517" s="37">
        <v>20</v>
      </c>
      <c r="J517" s="59">
        <v>2128</v>
      </c>
      <c r="K517" s="40">
        <v>84.99</v>
      </c>
      <c r="L517" s="41" t="s">
        <v>275</v>
      </c>
      <c r="M517" s="26" t="s">
        <v>274</v>
      </c>
      <c r="N517" s="11"/>
      <c r="O517" s="15"/>
      <c r="P517" s="16"/>
    </row>
    <row r="518" spans="1:16" s="4" customFormat="1" x14ac:dyDescent="0.25">
      <c r="A518" s="62" t="s">
        <v>1703</v>
      </c>
      <c r="B518" s="12">
        <v>9780230293519</v>
      </c>
      <c r="C518" s="13" t="s">
        <v>1109</v>
      </c>
      <c r="D518" s="14" t="str">
        <f>HYPERLINK("http://www.springer.com/gp/book/9780230293519","Global Financial Crisis: The Ethical Issues")</f>
        <v>Global Financial Crisis: The Ethical Issues</v>
      </c>
      <c r="E518" s="20"/>
      <c r="F518" s="15" t="s">
        <v>714</v>
      </c>
      <c r="G518" s="16" t="s">
        <v>1525</v>
      </c>
      <c r="H518" s="17">
        <v>961</v>
      </c>
      <c r="I518" s="37">
        <v>25</v>
      </c>
      <c r="J518" s="59">
        <v>721</v>
      </c>
      <c r="K518" s="40">
        <v>29.99</v>
      </c>
      <c r="L518" s="41" t="s">
        <v>275</v>
      </c>
      <c r="M518" s="19" t="s">
        <v>273</v>
      </c>
      <c r="N518" s="11"/>
      <c r="O518" s="15"/>
      <c r="P518" s="16"/>
    </row>
    <row r="519" spans="1:16" s="4" customFormat="1" x14ac:dyDescent="0.25">
      <c r="A519" s="62" t="s">
        <v>1703</v>
      </c>
      <c r="B519" s="12">
        <v>9780230007093</v>
      </c>
      <c r="C519" s="13" t="s">
        <v>81</v>
      </c>
      <c r="D519" s="14" t="str">
        <f>HYPERLINK("http://www.springer.com/gp/book/9780230007093","Intellectual Property and Theories of Justice")</f>
        <v>Intellectual Property and Theories of Justice</v>
      </c>
      <c r="E519" s="20"/>
      <c r="F519" s="15" t="s">
        <v>705</v>
      </c>
      <c r="G519" s="16" t="s">
        <v>1525</v>
      </c>
      <c r="H519" s="17">
        <v>3130</v>
      </c>
      <c r="I519" s="37">
        <v>25</v>
      </c>
      <c r="J519" s="59">
        <v>2348</v>
      </c>
      <c r="K519" s="40">
        <v>99.99</v>
      </c>
      <c r="L519" s="41" t="s">
        <v>275</v>
      </c>
      <c r="M519" s="26" t="s">
        <v>274</v>
      </c>
      <c r="N519" s="11"/>
      <c r="O519" s="15"/>
      <c r="P519" s="16"/>
    </row>
    <row r="520" spans="1:16" s="4" customFormat="1" x14ac:dyDescent="0.25">
      <c r="A520" s="62" t="s">
        <v>1703</v>
      </c>
      <c r="B520" s="12">
        <v>9780230609846</v>
      </c>
      <c r="C520" s="13" t="s">
        <v>1099</v>
      </c>
      <c r="D520" s="14" t="str">
        <f>HYPERLINK("http://www.springer.com/gp/book/9780230609846","Islam, Modernity, Violence, and Everyday Life")</f>
        <v>Islam, Modernity, Violence, and Everyday Life</v>
      </c>
      <c r="E520" s="20"/>
      <c r="F520" s="15" t="s">
        <v>696</v>
      </c>
      <c r="G520" s="16" t="s">
        <v>1525</v>
      </c>
      <c r="H520" s="17">
        <v>2723</v>
      </c>
      <c r="I520" s="37">
        <v>25</v>
      </c>
      <c r="J520" s="59">
        <v>2042</v>
      </c>
      <c r="K520" s="40">
        <v>86.99</v>
      </c>
      <c r="L520" s="41" t="s">
        <v>275</v>
      </c>
      <c r="M520" s="26" t="s">
        <v>274</v>
      </c>
      <c r="N520" s="11"/>
      <c r="O520" s="15"/>
      <c r="P520" s="16"/>
    </row>
    <row r="521" spans="1:16" s="4" customFormat="1" x14ac:dyDescent="0.25">
      <c r="A521" s="62" t="s">
        <v>1703</v>
      </c>
      <c r="B521" s="12">
        <v>9781137383303</v>
      </c>
      <c r="C521" s="13" t="s">
        <v>1122</v>
      </c>
      <c r="D521" s="14" t="str">
        <f>HYPERLINK("http://www.springer.com/gp/book/9781137383303","Love and Its Objects")</f>
        <v>Love and Its Objects</v>
      </c>
      <c r="E521" s="20" t="s">
        <v>1123</v>
      </c>
      <c r="F521" s="15" t="s">
        <v>708</v>
      </c>
      <c r="G521" s="16" t="s">
        <v>1525</v>
      </c>
      <c r="H521" s="17">
        <v>2660</v>
      </c>
      <c r="I521" s="37">
        <v>20</v>
      </c>
      <c r="J521" s="59">
        <v>2128</v>
      </c>
      <c r="K521" s="40">
        <v>84.99</v>
      </c>
      <c r="L521" s="41" t="s">
        <v>275</v>
      </c>
      <c r="M521" s="26" t="s">
        <v>274</v>
      </c>
      <c r="N521" s="11"/>
      <c r="O521" s="15"/>
      <c r="P521" s="16"/>
    </row>
    <row r="522" spans="1:16" s="4" customFormat="1" x14ac:dyDescent="0.25">
      <c r="A522" s="62" t="s">
        <v>1703</v>
      </c>
      <c r="B522" s="12">
        <v>9780230224377</v>
      </c>
      <c r="C522" s="13" t="s">
        <v>1135</v>
      </c>
      <c r="D522" s="14" t="str">
        <f>HYPERLINK("http://www.springer.com/gp/book/9780230224377","New Waves in Philosophy of Language")</f>
        <v>New Waves in Philosophy of Language</v>
      </c>
      <c r="E522" s="20"/>
      <c r="F522" s="15" t="s">
        <v>688</v>
      </c>
      <c r="G522" s="16" t="s">
        <v>1525</v>
      </c>
      <c r="H522" s="17">
        <v>961</v>
      </c>
      <c r="I522" s="37">
        <v>25</v>
      </c>
      <c r="J522" s="59">
        <v>721</v>
      </c>
      <c r="K522" s="40">
        <v>29.99</v>
      </c>
      <c r="L522" s="41" t="s">
        <v>275</v>
      </c>
      <c r="M522" s="19" t="s">
        <v>273</v>
      </c>
      <c r="N522" s="11"/>
      <c r="O522" s="15"/>
      <c r="P522" s="16"/>
    </row>
    <row r="523" spans="1:16" s="4" customFormat="1" x14ac:dyDescent="0.25">
      <c r="A523" s="62" t="s">
        <v>1703</v>
      </c>
      <c r="B523" s="12">
        <v>9780230276604</v>
      </c>
      <c r="C523" s="13" t="s">
        <v>1108</v>
      </c>
      <c r="D523" s="14" t="str">
        <f>HYPERLINK("http://www.springer.com/gp/book/9780230276604","New Waves in Philosophy of Law")</f>
        <v>New Waves in Philosophy of Law</v>
      </c>
      <c r="E523" s="20"/>
      <c r="F523" s="15" t="s">
        <v>714</v>
      </c>
      <c r="G523" s="16" t="s">
        <v>1525</v>
      </c>
      <c r="H523" s="17">
        <v>1121</v>
      </c>
      <c r="I523" s="37">
        <v>25</v>
      </c>
      <c r="J523" s="59">
        <v>841</v>
      </c>
      <c r="K523" s="40">
        <v>34.99</v>
      </c>
      <c r="L523" s="41" t="s">
        <v>275</v>
      </c>
      <c r="M523" s="19" t="s">
        <v>273</v>
      </c>
      <c r="N523" s="11"/>
      <c r="O523" s="15"/>
      <c r="P523" s="16"/>
    </row>
    <row r="524" spans="1:16" s="4" customFormat="1" x14ac:dyDescent="0.25">
      <c r="A524" s="62" t="s">
        <v>1703</v>
      </c>
      <c r="B524" s="12">
        <v>9780230222649</v>
      </c>
      <c r="C524" s="13" t="s">
        <v>1121</v>
      </c>
      <c r="D524" s="14" t="str">
        <f>HYPERLINK("http://www.springer.com/gp/book/9780230222649","New Waves in Philosophy of Science")</f>
        <v>New Waves in Philosophy of Science</v>
      </c>
      <c r="E524" s="20"/>
      <c r="F524" s="15" t="s">
        <v>688</v>
      </c>
      <c r="G524" s="16" t="s">
        <v>1525</v>
      </c>
      <c r="H524" s="17">
        <v>961</v>
      </c>
      <c r="I524" s="37">
        <v>25</v>
      </c>
      <c r="J524" s="59">
        <v>721</v>
      </c>
      <c r="K524" s="40">
        <v>29.99</v>
      </c>
      <c r="L524" s="41" t="s">
        <v>275</v>
      </c>
      <c r="M524" s="19" t="s">
        <v>273</v>
      </c>
      <c r="N524" s="11"/>
      <c r="O524" s="15"/>
      <c r="P524" s="16"/>
    </row>
    <row r="525" spans="1:16" s="4" customFormat="1" x14ac:dyDescent="0.25">
      <c r="A525" s="62" t="s">
        <v>1703</v>
      </c>
      <c r="B525" s="12">
        <v>9780230219991</v>
      </c>
      <c r="C525" s="13" t="s">
        <v>1104</v>
      </c>
      <c r="D525" s="14" t="str">
        <f>HYPERLINK("http://www.springer.com/gp/book/9780230219991","New Waves in Philosophy of Technology")</f>
        <v>New Waves in Philosophy of Technology</v>
      </c>
      <c r="E525" s="20"/>
      <c r="F525" s="15" t="s">
        <v>696</v>
      </c>
      <c r="G525" s="16" t="s">
        <v>1525</v>
      </c>
      <c r="H525" s="17">
        <v>3443</v>
      </c>
      <c r="I525" s="37">
        <v>25</v>
      </c>
      <c r="J525" s="59">
        <v>2582</v>
      </c>
      <c r="K525" s="40">
        <v>109.99</v>
      </c>
      <c r="L525" s="41" t="s">
        <v>275</v>
      </c>
      <c r="M525" s="26" t="s">
        <v>274</v>
      </c>
      <c r="N525" s="11"/>
      <c r="O525" s="15"/>
      <c r="P525" s="16"/>
    </row>
    <row r="526" spans="1:16" s="4" customFormat="1" x14ac:dyDescent="0.25">
      <c r="A526" s="62" t="s">
        <v>1703</v>
      </c>
      <c r="B526" s="12">
        <v>9780230221222</v>
      </c>
      <c r="C526" s="13" t="s">
        <v>288</v>
      </c>
      <c r="D526" s="14" t="str">
        <f>HYPERLINK("http://www.springer.com/gp/book/9780230221222","New Waves In Political Philosophy")</f>
        <v>New Waves In Political Philosophy</v>
      </c>
      <c r="E526" s="20"/>
      <c r="F526" s="15" t="s">
        <v>696</v>
      </c>
      <c r="G526" s="16" t="s">
        <v>1525</v>
      </c>
      <c r="H526" s="17">
        <v>3443</v>
      </c>
      <c r="I526" s="37">
        <v>25</v>
      </c>
      <c r="J526" s="59">
        <v>2582</v>
      </c>
      <c r="K526" s="40">
        <v>109.99</v>
      </c>
      <c r="L526" s="41" t="s">
        <v>275</v>
      </c>
      <c r="M526" s="26" t="s">
        <v>274</v>
      </c>
      <c r="N526" s="11"/>
      <c r="O526" s="15"/>
      <c r="P526" s="16"/>
    </row>
    <row r="527" spans="1:16" s="4" customFormat="1" x14ac:dyDescent="0.25">
      <c r="A527" s="62" t="s">
        <v>1703</v>
      </c>
      <c r="B527" s="12">
        <v>9780230302976</v>
      </c>
      <c r="C527" s="13" t="s">
        <v>258</v>
      </c>
      <c r="D527" s="14" t="str">
        <f>HYPERLINK("http://www.springer.com/gp/book/9780230302976","Philosophy of Economics")</f>
        <v>Philosophy of Economics</v>
      </c>
      <c r="E527" s="20"/>
      <c r="F527" s="15" t="s">
        <v>708</v>
      </c>
      <c r="G527" s="16" t="s">
        <v>1525</v>
      </c>
      <c r="H527" s="17">
        <v>961</v>
      </c>
      <c r="I527" s="37">
        <v>20</v>
      </c>
      <c r="J527" s="59">
        <v>769</v>
      </c>
      <c r="K527" s="40">
        <v>29.99</v>
      </c>
      <c r="L527" s="41" t="s">
        <v>275</v>
      </c>
      <c r="M527" s="19" t="s">
        <v>273</v>
      </c>
      <c r="N527" s="11"/>
      <c r="O527" s="15"/>
      <c r="P527" s="16"/>
    </row>
    <row r="528" spans="1:16" s="4" customFormat="1" x14ac:dyDescent="0.25">
      <c r="A528" s="62" t="s">
        <v>1703</v>
      </c>
      <c r="B528" s="12">
        <v>9780230368279</v>
      </c>
      <c r="C528" s="13" t="s">
        <v>1110</v>
      </c>
      <c r="D528" s="14" t="str">
        <f>HYPERLINK("http://www.springer.com/gp/book/9780230368279","Philosophy of Stem Cell Biology")</f>
        <v>Philosophy of Stem Cell Biology</v>
      </c>
      <c r="E528" s="20" t="s">
        <v>1111</v>
      </c>
      <c r="F528" s="15" t="s">
        <v>700</v>
      </c>
      <c r="G528" s="16" t="s">
        <v>1525</v>
      </c>
      <c r="H528" s="17">
        <v>2817</v>
      </c>
      <c r="I528" s="37">
        <v>20</v>
      </c>
      <c r="J528" s="59">
        <v>2254</v>
      </c>
      <c r="K528" s="40">
        <v>89.99</v>
      </c>
      <c r="L528" s="41" t="s">
        <v>275</v>
      </c>
      <c r="M528" s="26" t="s">
        <v>274</v>
      </c>
      <c r="N528" s="11"/>
      <c r="O528" s="15"/>
      <c r="P528" s="16"/>
    </row>
    <row r="529" spans="1:16" s="4" customFormat="1" x14ac:dyDescent="0.25">
      <c r="A529" s="62" t="s">
        <v>1703</v>
      </c>
      <c r="B529" s="12">
        <v>9780230237674</v>
      </c>
      <c r="C529" s="13" t="s">
        <v>1136</v>
      </c>
      <c r="D529" s="14" t="str">
        <f>HYPERLINK("http://www.springer.com/gp/book/9780230237674","Politics and the Criteria of Truth")</f>
        <v>Politics and the Criteria of Truth</v>
      </c>
      <c r="E529" s="20"/>
      <c r="F529" s="15" t="s">
        <v>688</v>
      </c>
      <c r="G529" s="16" t="s">
        <v>1525</v>
      </c>
      <c r="H529" s="17">
        <v>3130</v>
      </c>
      <c r="I529" s="37">
        <v>25</v>
      </c>
      <c r="J529" s="59">
        <v>2348</v>
      </c>
      <c r="K529" s="40">
        <v>99.99</v>
      </c>
      <c r="L529" s="41" t="s">
        <v>275</v>
      </c>
      <c r="M529" s="26" t="s">
        <v>274</v>
      </c>
      <c r="N529" s="11"/>
      <c r="O529" s="15"/>
      <c r="P529" s="16"/>
    </row>
    <row r="530" spans="1:16" s="4" customFormat="1" x14ac:dyDescent="0.25">
      <c r="A530" s="62" t="s">
        <v>1703</v>
      </c>
      <c r="B530" s="12">
        <v>9780230552852</v>
      </c>
      <c r="C530" s="13" t="s">
        <v>1117</v>
      </c>
      <c r="D530" s="14" t="str">
        <f>HYPERLINK("http://www.springer.com/gp/book/9780230552852","The Catastrophic Imperative")</f>
        <v>The Catastrophic Imperative</v>
      </c>
      <c r="E530" s="20" t="s">
        <v>1118</v>
      </c>
      <c r="F530" s="15" t="s">
        <v>696</v>
      </c>
      <c r="G530" s="16" t="s">
        <v>1525</v>
      </c>
      <c r="H530" s="17">
        <v>3130</v>
      </c>
      <c r="I530" s="37">
        <v>25</v>
      </c>
      <c r="J530" s="59">
        <v>2348</v>
      </c>
      <c r="K530" s="40">
        <v>99.99</v>
      </c>
      <c r="L530" s="41" t="s">
        <v>275</v>
      </c>
      <c r="M530" s="26" t="s">
        <v>274</v>
      </c>
      <c r="N530" s="11"/>
      <c r="O530" s="15"/>
      <c r="P530" s="16"/>
    </row>
    <row r="531" spans="1:16" s="4" customFormat="1" x14ac:dyDescent="0.25">
      <c r="A531" s="62" t="s">
        <v>1703</v>
      </c>
      <c r="B531" s="12">
        <v>9781137337634</v>
      </c>
      <c r="C531" s="13" t="s">
        <v>1124</v>
      </c>
      <c r="D531" s="14" t="str">
        <f>HYPERLINK("http://www.springer.com/gp/book/9781137337634","The Ethics of Animal Re-creation and Modification")</f>
        <v>The Ethics of Animal Re-creation and Modification</v>
      </c>
      <c r="E531" s="20" t="s">
        <v>1125</v>
      </c>
      <c r="F531" s="15" t="s">
        <v>708</v>
      </c>
      <c r="G531" s="16" t="s">
        <v>1525</v>
      </c>
      <c r="H531" s="17">
        <v>2563</v>
      </c>
      <c r="I531" s="37">
        <v>20</v>
      </c>
      <c r="J531" s="59">
        <v>2050</v>
      </c>
      <c r="K531" s="40">
        <v>79.989999999999995</v>
      </c>
      <c r="L531" s="41" t="s">
        <v>275</v>
      </c>
      <c r="M531" s="26" t="s">
        <v>274</v>
      </c>
      <c r="N531" s="11"/>
      <c r="O531" s="15"/>
      <c r="P531" s="16"/>
    </row>
    <row r="532" spans="1:16" s="4" customFormat="1" x14ac:dyDescent="0.25">
      <c r="A532" s="62" t="s">
        <v>1703</v>
      </c>
      <c r="B532" s="12">
        <v>9780333763193</v>
      </c>
      <c r="C532" s="13" t="s">
        <v>1137</v>
      </c>
      <c r="D532" s="14" t="str">
        <f>HYPERLINK("http://www.springer.com/gp/book/9780333763193","The Explicit Animal")</f>
        <v>The Explicit Animal</v>
      </c>
      <c r="E532" s="20" t="s">
        <v>1138</v>
      </c>
      <c r="F532" s="15" t="s">
        <v>1139</v>
      </c>
      <c r="G532" s="16" t="s">
        <v>1525</v>
      </c>
      <c r="H532" s="17">
        <v>1442</v>
      </c>
      <c r="I532" s="38">
        <v>30</v>
      </c>
      <c r="J532" s="59">
        <v>1009</v>
      </c>
      <c r="K532" s="40">
        <v>44.99</v>
      </c>
      <c r="L532" s="41" t="s">
        <v>275</v>
      </c>
      <c r="M532" s="19" t="s">
        <v>273</v>
      </c>
      <c r="N532" s="11"/>
      <c r="O532" s="15"/>
      <c r="P532" s="16"/>
    </row>
    <row r="533" spans="1:16" s="4" customFormat="1" x14ac:dyDescent="0.25">
      <c r="A533" s="62" t="s">
        <v>1703</v>
      </c>
      <c r="B533" s="12">
        <v>9781403938237</v>
      </c>
      <c r="C533" s="13" t="s">
        <v>1106</v>
      </c>
      <c r="D533" s="14" t="str">
        <f>HYPERLINK("http://www.springer.com/gp/book/9781403938237","The Law of Nations in Political Thought")</f>
        <v>The Law of Nations in Political Thought</v>
      </c>
      <c r="E533" s="20" t="s">
        <v>1107</v>
      </c>
      <c r="F533" s="15" t="s">
        <v>696</v>
      </c>
      <c r="G533" s="16" t="s">
        <v>1525</v>
      </c>
      <c r="H533" s="17">
        <v>3130</v>
      </c>
      <c r="I533" s="37">
        <v>25</v>
      </c>
      <c r="J533" s="59">
        <v>2348</v>
      </c>
      <c r="K533" s="40">
        <v>99.99</v>
      </c>
      <c r="L533" s="41" t="s">
        <v>275</v>
      </c>
      <c r="M533" s="26" t="s">
        <v>274</v>
      </c>
      <c r="N533" s="11"/>
      <c r="O533" s="15"/>
      <c r="P533" s="16"/>
    </row>
    <row r="534" spans="1:16" s="4" customFormat="1" x14ac:dyDescent="0.25">
      <c r="A534" s="62" t="s">
        <v>1703</v>
      </c>
      <c r="B534" s="12">
        <v>9781137389824</v>
      </c>
      <c r="C534" s="13" t="s">
        <v>1112</v>
      </c>
      <c r="D534" s="14" t="str">
        <f>HYPERLINK("http://www.springer.com/gp/book/9781137389824","The Nature of Scientific Thinking")</f>
        <v>The Nature of Scientific Thinking</v>
      </c>
      <c r="E534" s="20" t="s">
        <v>1113</v>
      </c>
      <c r="F534" s="15" t="s">
        <v>708</v>
      </c>
      <c r="G534" s="16" t="s">
        <v>1525</v>
      </c>
      <c r="H534" s="17">
        <v>2817</v>
      </c>
      <c r="I534" s="37">
        <v>20</v>
      </c>
      <c r="J534" s="59">
        <v>2254</v>
      </c>
      <c r="K534" s="40">
        <v>89.99</v>
      </c>
      <c r="L534" s="41" t="s">
        <v>275</v>
      </c>
      <c r="M534" s="26" t="s">
        <v>274</v>
      </c>
      <c r="N534" s="11"/>
      <c r="O534" s="15"/>
      <c r="P534" s="16"/>
    </row>
    <row r="535" spans="1:16" s="4" customFormat="1" x14ac:dyDescent="0.25">
      <c r="A535" s="62" t="s">
        <v>1703</v>
      </c>
      <c r="B535" s="12">
        <v>9780230224391</v>
      </c>
      <c r="C535" s="13" t="s">
        <v>1140</v>
      </c>
      <c r="D535" s="14" t="str">
        <f>HYPERLINK("http://www.springer.com/gp/book/9780230224391","The Social Sciences and Democracy")</f>
        <v>The Social Sciences and Democracy</v>
      </c>
      <c r="E535" s="20"/>
      <c r="F535" s="15" t="s">
        <v>696</v>
      </c>
      <c r="G535" s="16" t="s">
        <v>1525</v>
      </c>
      <c r="H535" s="17">
        <v>3130</v>
      </c>
      <c r="I535" s="37">
        <v>25</v>
      </c>
      <c r="J535" s="59">
        <v>2348</v>
      </c>
      <c r="K535" s="40">
        <v>99.99</v>
      </c>
      <c r="L535" s="41" t="s">
        <v>275</v>
      </c>
      <c r="M535" s="26" t="s">
        <v>274</v>
      </c>
      <c r="N535" s="11"/>
      <c r="O535" s="15"/>
      <c r="P535" s="16"/>
    </row>
    <row r="536" spans="1:16" s="4" customFormat="1" x14ac:dyDescent="0.25">
      <c r="A536" s="62" t="s">
        <v>1703</v>
      </c>
      <c r="B536" s="12">
        <v>9781403944993</v>
      </c>
      <c r="C536" s="13" t="s">
        <v>990</v>
      </c>
      <c r="D536" s="14" t="str">
        <f>HYPERLINK("http://www.springer.com/gp/book/9781403944993","Venomous Earth")</f>
        <v>Venomous Earth</v>
      </c>
      <c r="E536" s="20" t="s">
        <v>991</v>
      </c>
      <c r="F536" s="15" t="s">
        <v>691</v>
      </c>
      <c r="G536" s="16" t="s">
        <v>1525</v>
      </c>
      <c r="H536" s="17">
        <v>1922</v>
      </c>
      <c r="I536" s="38">
        <v>30</v>
      </c>
      <c r="J536" s="59">
        <v>1345</v>
      </c>
      <c r="K536" s="40">
        <v>59.99</v>
      </c>
      <c r="L536" s="41" t="s">
        <v>275</v>
      </c>
      <c r="M536" s="26" t="s">
        <v>274</v>
      </c>
      <c r="N536" s="11"/>
      <c r="O536" s="15"/>
      <c r="P536" s="16"/>
    </row>
    <row r="537" spans="1:16" s="4" customFormat="1" x14ac:dyDescent="0.25">
      <c r="A537" s="64" t="s">
        <v>277</v>
      </c>
      <c r="B537" s="22">
        <v>9781429295901</v>
      </c>
      <c r="C537" s="23" t="s">
        <v>668</v>
      </c>
      <c r="D537" s="24" t="s">
        <v>667</v>
      </c>
      <c r="E537" s="23"/>
      <c r="F537" s="25">
        <v>2012</v>
      </c>
      <c r="G537" s="26" t="s">
        <v>1678</v>
      </c>
      <c r="H537" s="27">
        <v>2286</v>
      </c>
      <c r="I537" s="37">
        <v>20</v>
      </c>
      <c r="J537" s="59">
        <v>1829</v>
      </c>
      <c r="K537" s="42">
        <v>55.99</v>
      </c>
      <c r="L537" s="43" t="s">
        <v>272</v>
      </c>
      <c r="M537" s="26" t="s">
        <v>274</v>
      </c>
      <c r="N537" s="21" t="s">
        <v>1683</v>
      </c>
      <c r="O537" s="25">
        <v>800</v>
      </c>
      <c r="P537" s="28" t="s">
        <v>669</v>
      </c>
    </row>
    <row r="538" spans="1:16" s="4" customFormat="1" x14ac:dyDescent="0.25">
      <c r="A538" s="64" t="s">
        <v>277</v>
      </c>
      <c r="B538" s="29">
        <v>9780230231924</v>
      </c>
      <c r="C538" s="30" t="s">
        <v>106</v>
      </c>
      <c r="D538" s="31" t="s">
        <v>277</v>
      </c>
      <c r="E538" s="30"/>
      <c r="F538" s="32">
        <v>2010</v>
      </c>
      <c r="G538" s="19" t="s">
        <v>4</v>
      </c>
      <c r="H538" s="33">
        <v>1224</v>
      </c>
      <c r="I538" s="37">
        <v>25</v>
      </c>
      <c r="J538" s="59">
        <v>918</v>
      </c>
      <c r="K538" s="44">
        <v>29.99</v>
      </c>
      <c r="L538" s="45" t="s">
        <v>272</v>
      </c>
      <c r="M538" s="19" t="s">
        <v>273</v>
      </c>
      <c r="N538" s="21" t="s">
        <v>1680</v>
      </c>
      <c r="O538" s="18">
        <v>520</v>
      </c>
      <c r="P538" s="19" t="s">
        <v>1540</v>
      </c>
    </row>
    <row r="539" spans="1:16" s="4" customFormat="1" x14ac:dyDescent="0.25">
      <c r="A539" s="64" t="s">
        <v>277</v>
      </c>
      <c r="B539" s="22">
        <v>9781429270809</v>
      </c>
      <c r="C539" s="23" t="s">
        <v>668</v>
      </c>
      <c r="D539" s="24" t="s">
        <v>682</v>
      </c>
      <c r="E539" s="23"/>
      <c r="F539" s="25">
        <v>2012</v>
      </c>
      <c r="G539" s="26" t="s">
        <v>1678</v>
      </c>
      <c r="H539" s="27">
        <v>1102</v>
      </c>
      <c r="I539" s="37">
        <v>20</v>
      </c>
      <c r="J539" s="59">
        <v>882</v>
      </c>
      <c r="K539" s="42">
        <v>26.99</v>
      </c>
      <c r="L539" s="43" t="s">
        <v>272</v>
      </c>
      <c r="M539" s="26" t="s">
        <v>273</v>
      </c>
      <c r="N539" s="21" t="s">
        <v>1683</v>
      </c>
      <c r="O539" s="25">
        <v>150</v>
      </c>
      <c r="P539" s="28" t="s">
        <v>683</v>
      </c>
    </row>
    <row r="540" spans="1:16" s="4" customFormat="1" x14ac:dyDescent="0.25">
      <c r="A540" s="64" t="s">
        <v>277</v>
      </c>
      <c r="B540" s="29">
        <v>9781137278340</v>
      </c>
      <c r="C540" s="30" t="s">
        <v>132</v>
      </c>
      <c r="D540" s="31" t="s">
        <v>133</v>
      </c>
      <c r="E540" s="30" t="s">
        <v>1535</v>
      </c>
      <c r="F540" s="32">
        <v>2013</v>
      </c>
      <c r="G540" s="19" t="s">
        <v>4</v>
      </c>
      <c r="H540" s="33">
        <v>459</v>
      </c>
      <c r="I540" s="37">
        <v>20</v>
      </c>
      <c r="J540" s="59">
        <v>367</v>
      </c>
      <c r="K540" s="44">
        <v>10.99</v>
      </c>
      <c r="L540" s="45" t="s">
        <v>272</v>
      </c>
      <c r="M540" s="19" t="s">
        <v>273</v>
      </c>
      <c r="N540" s="29"/>
      <c r="O540" s="18">
        <v>272</v>
      </c>
      <c r="P540" s="19" t="s">
        <v>1619</v>
      </c>
    </row>
    <row r="541" spans="1:16" s="4" customFormat="1" x14ac:dyDescent="0.25">
      <c r="A541" s="64" t="s">
        <v>277</v>
      </c>
      <c r="B541" s="29">
        <v>9780230116474</v>
      </c>
      <c r="C541" s="30" t="s">
        <v>132</v>
      </c>
      <c r="D541" s="31" t="s">
        <v>133</v>
      </c>
      <c r="E541" s="30" t="s">
        <v>1535</v>
      </c>
      <c r="F541" s="32">
        <v>2012</v>
      </c>
      <c r="G541" s="19" t="s">
        <v>4</v>
      </c>
      <c r="H541" s="33">
        <v>793</v>
      </c>
      <c r="I541" s="37">
        <v>20</v>
      </c>
      <c r="J541" s="59">
        <v>634</v>
      </c>
      <c r="K541" s="44">
        <v>18.989999999999998</v>
      </c>
      <c r="L541" s="45" t="s">
        <v>272</v>
      </c>
      <c r="M541" s="19" t="s">
        <v>274</v>
      </c>
      <c r="N541" s="29"/>
      <c r="O541" s="18">
        <v>272</v>
      </c>
      <c r="P541" s="19" t="s">
        <v>1536</v>
      </c>
    </row>
    <row r="542" spans="1:16" s="4" customFormat="1" x14ac:dyDescent="0.25">
      <c r="A542" s="64" t="s">
        <v>277</v>
      </c>
      <c r="B542" s="34">
        <v>9780716723790</v>
      </c>
      <c r="C542" s="23" t="s">
        <v>305</v>
      </c>
      <c r="D542" s="24" t="s">
        <v>306</v>
      </c>
      <c r="E542" s="23"/>
      <c r="F542" s="25">
        <v>1994</v>
      </c>
      <c r="G542" s="19" t="s">
        <v>194</v>
      </c>
      <c r="H542" s="27">
        <v>1345</v>
      </c>
      <c r="I542" s="38">
        <v>30</v>
      </c>
      <c r="J542" s="59">
        <v>942</v>
      </c>
      <c r="K542" s="44">
        <v>32.950000000000003</v>
      </c>
      <c r="L542" s="45" t="s">
        <v>272</v>
      </c>
      <c r="M542" s="19" t="s">
        <v>274</v>
      </c>
      <c r="N542" s="21" t="s">
        <v>1681</v>
      </c>
      <c r="O542" s="35">
        <v>626</v>
      </c>
      <c r="P542" s="19" t="s">
        <v>1586</v>
      </c>
    </row>
    <row r="543" spans="1:16" s="4" customFormat="1" x14ac:dyDescent="0.25">
      <c r="A543" s="64" t="s">
        <v>277</v>
      </c>
      <c r="B543" s="34">
        <v>9780716769958</v>
      </c>
      <c r="C543" s="23" t="s">
        <v>313</v>
      </c>
      <c r="D543" s="24" t="s">
        <v>1593</v>
      </c>
      <c r="E543" s="23"/>
      <c r="F543" s="25">
        <v>2005</v>
      </c>
      <c r="G543" s="19" t="s">
        <v>194</v>
      </c>
      <c r="H543" s="27">
        <v>1633</v>
      </c>
      <c r="I543" s="38">
        <v>30</v>
      </c>
      <c r="J543" s="59">
        <v>1143</v>
      </c>
      <c r="K543" s="42">
        <v>39.99</v>
      </c>
      <c r="L543" s="45" t="s">
        <v>272</v>
      </c>
      <c r="M543" s="19" t="s">
        <v>273</v>
      </c>
      <c r="N543" s="21" t="s">
        <v>1684</v>
      </c>
      <c r="O543" s="35">
        <v>800</v>
      </c>
      <c r="P543" s="19" t="s">
        <v>1594</v>
      </c>
    </row>
    <row r="544" spans="1:16" s="4" customFormat="1" x14ac:dyDescent="0.25">
      <c r="A544" s="64" t="s">
        <v>277</v>
      </c>
      <c r="B544" s="34">
        <v>9780935702972</v>
      </c>
      <c r="C544" s="23" t="s">
        <v>329</v>
      </c>
      <c r="D544" s="24" t="s">
        <v>330</v>
      </c>
      <c r="E544" s="23"/>
      <c r="F544" s="25">
        <v>1997</v>
      </c>
      <c r="G544" s="26" t="s">
        <v>331</v>
      </c>
      <c r="H544" s="33">
        <v>1102</v>
      </c>
      <c r="I544" s="38">
        <v>30</v>
      </c>
      <c r="J544" s="59">
        <v>771</v>
      </c>
      <c r="K544" s="44">
        <v>26.99</v>
      </c>
      <c r="L544" s="45" t="s">
        <v>272</v>
      </c>
      <c r="M544" s="19" t="s">
        <v>274</v>
      </c>
      <c r="N544" s="29"/>
      <c r="O544" s="18">
        <v>200</v>
      </c>
      <c r="P544" s="19" t="s">
        <v>1616</v>
      </c>
    </row>
    <row r="545" spans="1:16" s="4" customFormat="1" x14ac:dyDescent="0.25">
      <c r="A545" s="62" t="s">
        <v>1714</v>
      </c>
      <c r="B545" s="12">
        <v>9780230573901</v>
      </c>
      <c r="C545" s="13" t="s">
        <v>1451</v>
      </c>
      <c r="D545" s="14" t="str">
        <f>HYPERLINK("http://www.springer.com/gp/book/9780230573901","The New International Policing")</f>
        <v>The New International Policing</v>
      </c>
      <c r="E545" s="20"/>
      <c r="F545" s="15" t="s">
        <v>696</v>
      </c>
      <c r="G545" s="16" t="s">
        <v>1525</v>
      </c>
      <c r="H545" s="17">
        <v>2817</v>
      </c>
      <c r="I545" s="37">
        <v>25</v>
      </c>
      <c r="J545" s="59">
        <v>2113</v>
      </c>
      <c r="K545" s="40">
        <v>89.99</v>
      </c>
      <c r="L545" s="41" t="s">
        <v>275</v>
      </c>
      <c r="M545" s="26" t="s">
        <v>274</v>
      </c>
      <c r="N545" s="11"/>
      <c r="O545" s="15"/>
      <c r="P545" s="16"/>
    </row>
    <row r="546" spans="1:16" s="4" customFormat="1" x14ac:dyDescent="0.25">
      <c r="A546" s="62" t="s">
        <v>1696</v>
      </c>
      <c r="B546" s="12">
        <v>9780230280397</v>
      </c>
      <c r="C546" s="13" t="s">
        <v>1268</v>
      </c>
      <c r="D546" s="14" t="str">
        <f>HYPERLINK("http://www.springer.com/gp/book/9780230280397","A Whole New World")</f>
        <v>A Whole New World</v>
      </c>
      <c r="E546" s="20" t="s">
        <v>1269</v>
      </c>
      <c r="F546" s="15" t="s">
        <v>714</v>
      </c>
      <c r="G546" s="16" t="s">
        <v>1525</v>
      </c>
      <c r="H546" s="17">
        <v>2973</v>
      </c>
      <c r="I546" s="37">
        <v>25</v>
      </c>
      <c r="J546" s="59">
        <v>2230</v>
      </c>
      <c r="K546" s="40">
        <v>94.99</v>
      </c>
      <c r="L546" s="41" t="s">
        <v>275</v>
      </c>
      <c r="M546" s="26" t="s">
        <v>274</v>
      </c>
      <c r="N546" s="11"/>
      <c r="O546" s="15"/>
      <c r="P546" s="16"/>
    </row>
    <row r="547" spans="1:16" s="4" customFormat="1" x14ac:dyDescent="0.25">
      <c r="A547" s="62" t="s">
        <v>1696</v>
      </c>
      <c r="B547" s="29">
        <v>9780230237384</v>
      </c>
      <c r="C547" s="30" t="s">
        <v>234</v>
      </c>
      <c r="D547" s="31" t="s">
        <v>235</v>
      </c>
      <c r="E547" s="30"/>
      <c r="F547" s="32">
        <v>2012</v>
      </c>
      <c r="G547" s="19" t="s">
        <v>4</v>
      </c>
      <c r="H547" s="33">
        <v>3062</v>
      </c>
      <c r="I547" s="37">
        <v>20</v>
      </c>
      <c r="J547" s="59">
        <v>2450</v>
      </c>
      <c r="K547" s="44">
        <v>75</v>
      </c>
      <c r="L547" s="45" t="s">
        <v>272</v>
      </c>
      <c r="M547" s="19" t="s">
        <v>274</v>
      </c>
      <c r="N547" s="29"/>
      <c r="O547" s="18">
        <v>296</v>
      </c>
      <c r="P547" s="19" t="s">
        <v>1541</v>
      </c>
    </row>
    <row r="548" spans="1:16" s="4" customFormat="1" x14ac:dyDescent="0.25">
      <c r="A548" s="62" t="s">
        <v>1696</v>
      </c>
      <c r="B548" s="12">
        <v>9780230290907</v>
      </c>
      <c r="C548" s="13" t="s">
        <v>1207</v>
      </c>
      <c r="D548" s="14" t="str">
        <f>HYPERLINK("http://www.springer.com/gp/book/9780230290907","Anti-Racist Movements in the EU")</f>
        <v>Anti-Racist Movements in the EU</v>
      </c>
      <c r="E548" s="20" t="s">
        <v>1208</v>
      </c>
      <c r="F548" s="15" t="s">
        <v>700</v>
      </c>
      <c r="G548" s="16" t="s">
        <v>1525</v>
      </c>
      <c r="H548" s="17">
        <v>2817</v>
      </c>
      <c r="I548" s="37">
        <v>20</v>
      </c>
      <c r="J548" s="59">
        <v>2254</v>
      </c>
      <c r="K548" s="40">
        <v>89.99</v>
      </c>
      <c r="L548" s="41" t="s">
        <v>275</v>
      </c>
      <c r="M548" s="26" t="s">
        <v>274</v>
      </c>
      <c r="N548" s="11"/>
      <c r="O548" s="15"/>
      <c r="P548" s="16"/>
    </row>
    <row r="549" spans="1:16" s="4" customFormat="1" x14ac:dyDescent="0.25">
      <c r="A549" s="62" t="s">
        <v>1696</v>
      </c>
      <c r="B549" s="22">
        <v>9780230555099</v>
      </c>
      <c r="C549" s="23" t="s">
        <v>389</v>
      </c>
      <c r="D549" s="24" t="s">
        <v>388</v>
      </c>
      <c r="E549" s="23"/>
      <c r="F549" s="25">
        <v>2009</v>
      </c>
      <c r="G549" s="26" t="s">
        <v>1678</v>
      </c>
      <c r="H549" s="27">
        <v>1224</v>
      </c>
      <c r="I549" s="37">
        <v>25</v>
      </c>
      <c r="J549" s="59">
        <v>918</v>
      </c>
      <c r="K549" s="42">
        <v>29.99</v>
      </c>
      <c r="L549" s="43" t="s">
        <v>272</v>
      </c>
      <c r="M549" s="26" t="s">
        <v>273</v>
      </c>
      <c r="N549" s="21"/>
      <c r="O549" s="25">
        <v>296</v>
      </c>
      <c r="P549" s="28" t="s">
        <v>390</v>
      </c>
    </row>
    <row r="550" spans="1:16" s="4" customFormat="1" x14ac:dyDescent="0.25">
      <c r="A550" s="62" t="s">
        <v>1696</v>
      </c>
      <c r="B550" s="12">
        <v>9780333987216</v>
      </c>
      <c r="C550" s="13" t="s">
        <v>1346</v>
      </c>
      <c r="D550" s="14" t="str">
        <f>HYPERLINK("http://www.springer.com/gp/book/9780333987216","Authority and Markets")</f>
        <v>Authority and Markets</v>
      </c>
      <c r="E550" s="20" t="s">
        <v>1347</v>
      </c>
      <c r="F550" s="15" t="s">
        <v>799</v>
      </c>
      <c r="G550" s="16" t="s">
        <v>1525</v>
      </c>
      <c r="H550" s="17">
        <v>1282</v>
      </c>
      <c r="I550" s="38">
        <v>30</v>
      </c>
      <c r="J550" s="59">
        <v>897</v>
      </c>
      <c r="K550" s="40">
        <v>39.99</v>
      </c>
      <c r="L550" s="41" t="s">
        <v>275</v>
      </c>
      <c r="M550" s="19" t="s">
        <v>273</v>
      </c>
      <c r="N550" s="11"/>
      <c r="O550" s="15"/>
      <c r="P550" s="16"/>
    </row>
    <row r="551" spans="1:16" s="4" customFormat="1" x14ac:dyDescent="0.25">
      <c r="A551" s="62" t="s">
        <v>1696</v>
      </c>
      <c r="B551" s="22">
        <v>9780230293823</v>
      </c>
      <c r="C551" s="23" t="s">
        <v>455</v>
      </c>
      <c r="D551" s="24" t="s">
        <v>454</v>
      </c>
      <c r="E551" s="23"/>
      <c r="F551" s="25">
        <v>2013</v>
      </c>
      <c r="G551" s="26" t="s">
        <v>1678</v>
      </c>
      <c r="H551" s="27">
        <v>857</v>
      </c>
      <c r="I551" s="37">
        <v>20</v>
      </c>
      <c r="J551" s="59">
        <v>686</v>
      </c>
      <c r="K551" s="42">
        <v>20.99</v>
      </c>
      <c r="L551" s="43" t="s">
        <v>272</v>
      </c>
      <c r="M551" s="26" t="s">
        <v>273</v>
      </c>
      <c r="N551" s="21"/>
      <c r="O551" s="25">
        <v>216</v>
      </c>
      <c r="P551" s="28" t="s">
        <v>456</v>
      </c>
    </row>
    <row r="552" spans="1:16" s="4" customFormat="1" x14ac:dyDescent="0.25">
      <c r="A552" s="62" t="s">
        <v>1696</v>
      </c>
      <c r="B552" s="12">
        <v>9781137326065</v>
      </c>
      <c r="C552" s="13" t="s">
        <v>1290</v>
      </c>
      <c r="D552" s="14" t="str">
        <f>HYPERLINK("http://www.springer.com/gp/book/9781137326065","Britain and Germany Imagining the Future of Europe")</f>
        <v>Britain and Germany Imagining the Future of Europe</v>
      </c>
      <c r="E552" s="20" t="s">
        <v>1291</v>
      </c>
      <c r="F552" s="15" t="s">
        <v>700</v>
      </c>
      <c r="G552" s="16" t="s">
        <v>1525</v>
      </c>
      <c r="H552" s="17">
        <v>2817</v>
      </c>
      <c r="I552" s="37">
        <v>20</v>
      </c>
      <c r="J552" s="59">
        <v>2254</v>
      </c>
      <c r="K552" s="40">
        <v>89.99</v>
      </c>
      <c r="L552" s="41" t="s">
        <v>275</v>
      </c>
      <c r="M552" s="26" t="s">
        <v>274</v>
      </c>
      <c r="N552" s="11"/>
      <c r="O552" s="15"/>
      <c r="P552" s="16"/>
    </row>
    <row r="553" spans="1:16" s="4" customFormat="1" x14ac:dyDescent="0.25">
      <c r="A553" s="63" t="s">
        <v>1696</v>
      </c>
      <c r="B553" s="22">
        <v>9780333693209</v>
      </c>
      <c r="C553" s="23" t="s">
        <v>437</v>
      </c>
      <c r="D553" s="24" t="s">
        <v>436</v>
      </c>
      <c r="E553" s="23"/>
      <c r="F553" s="25">
        <v>2008</v>
      </c>
      <c r="G553" s="26" t="s">
        <v>1678</v>
      </c>
      <c r="H553" s="27">
        <v>1306</v>
      </c>
      <c r="I553" s="37">
        <v>25</v>
      </c>
      <c r="J553" s="59">
        <v>980</v>
      </c>
      <c r="K553" s="42">
        <v>31.99</v>
      </c>
      <c r="L553" s="43" t="s">
        <v>272</v>
      </c>
      <c r="M553" s="26" t="s">
        <v>273</v>
      </c>
      <c r="N553" s="21"/>
      <c r="O553" s="25">
        <v>288</v>
      </c>
      <c r="P553" s="28" t="s">
        <v>438</v>
      </c>
    </row>
    <row r="554" spans="1:16" s="4" customFormat="1" x14ac:dyDescent="0.25">
      <c r="A554" s="62" t="s">
        <v>1696</v>
      </c>
      <c r="B554" s="12">
        <v>9780230279865</v>
      </c>
      <c r="C554" s="13" t="s">
        <v>1221</v>
      </c>
      <c r="D554" s="14" t="str">
        <f>HYPERLINK("http://www.springer.com/gp/book/9780230279865","Central and Eastern European Attitudes in the Face of Union")</f>
        <v>Central and Eastern European Attitudes in the Face of Union</v>
      </c>
      <c r="E554" s="20"/>
      <c r="F554" s="15" t="s">
        <v>700</v>
      </c>
      <c r="G554" s="16" t="s">
        <v>1525</v>
      </c>
      <c r="H554" s="17">
        <v>2723</v>
      </c>
      <c r="I554" s="37">
        <v>20</v>
      </c>
      <c r="J554" s="59">
        <v>2178</v>
      </c>
      <c r="K554" s="40">
        <v>86.99</v>
      </c>
      <c r="L554" s="41" t="s">
        <v>275</v>
      </c>
      <c r="M554" s="26" t="s">
        <v>274</v>
      </c>
      <c r="N554" s="11"/>
      <c r="O554" s="15"/>
      <c r="P554" s="16"/>
    </row>
    <row r="555" spans="1:16" s="4" customFormat="1" x14ac:dyDescent="0.25">
      <c r="A555" s="62" t="s">
        <v>1696</v>
      </c>
      <c r="B555" s="12">
        <v>9780230273337</v>
      </c>
      <c r="C555" s="13" t="s">
        <v>1432</v>
      </c>
      <c r="D555" s="14" t="str">
        <f>HYPERLINK("http://www.springer.com/gp/book/9780230273337","Citizenship in an Enlarging Europe")</f>
        <v>Citizenship in an Enlarging Europe</v>
      </c>
      <c r="E555" s="20" t="s">
        <v>1433</v>
      </c>
      <c r="F555" s="15" t="s">
        <v>917</v>
      </c>
      <c r="G555" s="16" t="s">
        <v>1525</v>
      </c>
      <c r="H555" s="17">
        <v>961</v>
      </c>
      <c r="I555" s="38">
        <v>30</v>
      </c>
      <c r="J555" s="59">
        <v>673</v>
      </c>
      <c r="K555" s="40">
        <v>29.99</v>
      </c>
      <c r="L555" s="41" t="s">
        <v>275</v>
      </c>
      <c r="M555" s="19" t="s">
        <v>273</v>
      </c>
      <c r="N555" s="11"/>
      <c r="O555" s="15"/>
      <c r="P555" s="16"/>
    </row>
    <row r="556" spans="1:16" s="4" customFormat="1" x14ac:dyDescent="0.25">
      <c r="A556" s="62" t="s">
        <v>1696</v>
      </c>
      <c r="B556" s="12">
        <v>9781137319883</v>
      </c>
      <c r="C556" s="13" t="s">
        <v>988</v>
      </c>
      <c r="D556" s="14" t="str">
        <f>HYPERLINK("http://www.springer.com/gp/book/9781137319883","Climate Innovation")</f>
        <v>Climate Innovation</v>
      </c>
      <c r="E556" s="20" t="s">
        <v>989</v>
      </c>
      <c r="F556" s="15" t="s">
        <v>708</v>
      </c>
      <c r="G556" s="16" t="s">
        <v>1525</v>
      </c>
      <c r="H556" s="17">
        <v>961</v>
      </c>
      <c r="I556" s="37">
        <v>20</v>
      </c>
      <c r="J556" s="59">
        <v>769</v>
      </c>
      <c r="K556" s="40">
        <v>29.99</v>
      </c>
      <c r="L556" s="41" t="s">
        <v>275</v>
      </c>
      <c r="M556" s="19" t="s">
        <v>273</v>
      </c>
      <c r="N556" s="11"/>
      <c r="O556" s="15"/>
      <c r="P556" s="16"/>
    </row>
    <row r="557" spans="1:16" s="4" customFormat="1" x14ac:dyDescent="0.25">
      <c r="A557" s="63" t="s">
        <v>1696</v>
      </c>
      <c r="B557" s="22">
        <v>9780230000285</v>
      </c>
      <c r="C557" s="23" t="s">
        <v>391</v>
      </c>
      <c r="D557" s="24" t="s">
        <v>238</v>
      </c>
      <c r="E557" s="23"/>
      <c r="F557" s="25">
        <v>2008</v>
      </c>
      <c r="G557" s="26" t="s">
        <v>1678</v>
      </c>
      <c r="H557" s="27">
        <v>2756</v>
      </c>
      <c r="I557" s="37">
        <v>25</v>
      </c>
      <c r="J557" s="59">
        <v>2067</v>
      </c>
      <c r="K557" s="42">
        <v>67.5</v>
      </c>
      <c r="L557" s="43" t="s">
        <v>272</v>
      </c>
      <c r="M557" s="26" t="s">
        <v>274</v>
      </c>
      <c r="N557" s="21"/>
      <c r="O557" s="25">
        <v>280</v>
      </c>
      <c r="P557" s="28" t="s">
        <v>392</v>
      </c>
    </row>
    <row r="558" spans="1:16" s="4" customFormat="1" x14ac:dyDescent="0.25">
      <c r="A558" s="62" t="s">
        <v>1696</v>
      </c>
      <c r="B558" s="22">
        <v>9781137023568</v>
      </c>
      <c r="C558" s="23" t="s">
        <v>581</v>
      </c>
      <c r="D558" s="24" t="s">
        <v>46</v>
      </c>
      <c r="E558" s="23"/>
      <c r="F558" s="25">
        <v>2013</v>
      </c>
      <c r="G558" s="26" t="s">
        <v>1678</v>
      </c>
      <c r="H558" s="27">
        <v>1224</v>
      </c>
      <c r="I558" s="37">
        <v>20</v>
      </c>
      <c r="J558" s="59">
        <v>979</v>
      </c>
      <c r="K558" s="42">
        <v>29.99</v>
      </c>
      <c r="L558" s="43" t="s">
        <v>272</v>
      </c>
      <c r="M558" s="26" t="s">
        <v>273</v>
      </c>
      <c r="N558" s="21" t="s">
        <v>1681</v>
      </c>
      <c r="O558" s="25">
        <v>392</v>
      </c>
      <c r="P558" s="28" t="s">
        <v>582</v>
      </c>
    </row>
    <row r="559" spans="1:16" s="4" customFormat="1" x14ac:dyDescent="0.25">
      <c r="A559" s="62" t="s">
        <v>1696</v>
      </c>
      <c r="B559" s="12">
        <v>9781137020949</v>
      </c>
      <c r="C559" s="13" t="s">
        <v>1148</v>
      </c>
      <c r="D559" s="14" t="str">
        <f>HYPERLINK("http://www.springer.com/gp/book/9781137020949","Conflicts and Wars")</f>
        <v>Conflicts and Wars</v>
      </c>
      <c r="E559" s="20" t="s">
        <v>1149</v>
      </c>
      <c r="F559" s="15" t="s">
        <v>752</v>
      </c>
      <c r="G559" s="16" t="s">
        <v>1525</v>
      </c>
      <c r="H559" s="17">
        <v>2723</v>
      </c>
      <c r="I559" s="37">
        <v>20</v>
      </c>
      <c r="J559" s="59">
        <v>2178</v>
      </c>
      <c r="K559" s="40">
        <v>86.99</v>
      </c>
      <c r="L559" s="41" t="s">
        <v>275</v>
      </c>
      <c r="M559" s="26" t="s">
        <v>274</v>
      </c>
      <c r="N559" s="11"/>
      <c r="O559" s="15"/>
      <c r="P559" s="16"/>
    </row>
    <row r="560" spans="1:16" s="4" customFormat="1" x14ac:dyDescent="0.25">
      <c r="A560" s="62" t="s">
        <v>1696</v>
      </c>
      <c r="B560" s="22">
        <v>9780230237803</v>
      </c>
      <c r="C560" s="23" t="s">
        <v>47</v>
      </c>
      <c r="D560" s="24" t="s">
        <v>48</v>
      </c>
      <c r="E560" s="23"/>
      <c r="F560" s="25">
        <v>2014</v>
      </c>
      <c r="G560" s="26" t="s">
        <v>1678</v>
      </c>
      <c r="H560" s="27">
        <v>1224</v>
      </c>
      <c r="I560" s="37">
        <v>20</v>
      </c>
      <c r="J560" s="59">
        <v>979</v>
      </c>
      <c r="K560" s="42">
        <v>29.99</v>
      </c>
      <c r="L560" s="43" t="s">
        <v>272</v>
      </c>
      <c r="M560" s="26" t="s">
        <v>273</v>
      </c>
      <c r="N560" s="21"/>
      <c r="O560" s="25">
        <v>240</v>
      </c>
      <c r="P560" s="28" t="s">
        <v>497</v>
      </c>
    </row>
    <row r="561" spans="1:16" s="4" customFormat="1" x14ac:dyDescent="0.25">
      <c r="A561" s="62" t="s">
        <v>1696</v>
      </c>
      <c r="B561" s="29">
        <v>9780230520967</v>
      </c>
      <c r="C561" s="30" t="s">
        <v>50</v>
      </c>
      <c r="D561" s="31" t="s">
        <v>523</v>
      </c>
      <c r="E561" s="30"/>
      <c r="F561" s="32">
        <v>2008</v>
      </c>
      <c r="G561" s="19" t="s">
        <v>4</v>
      </c>
      <c r="H561" s="33">
        <v>1102</v>
      </c>
      <c r="I561" s="37">
        <v>25</v>
      </c>
      <c r="J561" s="59">
        <v>827</v>
      </c>
      <c r="K561" s="44">
        <v>26.99</v>
      </c>
      <c r="L561" s="45" t="s">
        <v>272</v>
      </c>
      <c r="M561" s="19" t="s">
        <v>273</v>
      </c>
      <c r="N561" s="21" t="s">
        <v>1679</v>
      </c>
      <c r="O561" s="18">
        <v>304</v>
      </c>
      <c r="P561" s="19" t="s">
        <v>1562</v>
      </c>
    </row>
    <row r="562" spans="1:16" s="4" customFormat="1" x14ac:dyDescent="0.25">
      <c r="A562" s="62" t="s">
        <v>1696</v>
      </c>
      <c r="B562" s="29">
        <v>9780230520950</v>
      </c>
      <c r="C562" s="30" t="s">
        <v>49</v>
      </c>
      <c r="D562" s="31" t="s">
        <v>523</v>
      </c>
      <c r="E562" s="30"/>
      <c r="F562" s="32">
        <v>2008</v>
      </c>
      <c r="G562" s="19" t="s">
        <v>4</v>
      </c>
      <c r="H562" s="33">
        <v>2858</v>
      </c>
      <c r="I562" s="37">
        <v>25</v>
      </c>
      <c r="J562" s="59">
        <v>2144</v>
      </c>
      <c r="K562" s="44">
        <v>70</v>
      </c>
      <c r="L562" s="45" t="s">
        <v>272</v>
      </c>
      <c r="M562" s="19" t="s">
        <v>274</v>
      </c>
      <c r="N562" s="21" t="s">
        <v>1679</v>
      </c>
      <c r="O562" s="18">
        <v>304</v>
      </c>
      <c r="P562" s="19" t="s">
        <v>1562</v>
      </c>
    </row>
    <row r="563" spans="1:16" s="4" customFormat="1" x14ac:dyDescent="0.25">
      <c r="A563" s="63" t="s">
        <v>1696</v>
      </c>
      <c r="B563" s="22">
        <v>9780230241503</v>
      </c>
      <c r="C563" s="23" t="s">
        <v>49</v>
      </c>
      <c r="D563" s="24" t="s">
        <v>523</v>
      </c>
      <c r="E563" s="23"/>
      <c r="F563" s="25">
        <v>2011</v>
      </c>
      <c r="G563" s="26" t="s">
        <v>1678</v>
      </c>
      <c r="H563" s="27">
        <v>1224</v>
      </c>
      <c r="I563" s="37">
        <v>25</v>
      </c>
      <c r="J563" s="59">
        <v>918</v>
      </c>
      <c r="K563" s="42">
        <v>29.99</v>
      </c>
      <c r="L563" s="43" t="s">
        <v>272</v>
      </c>
      <c r="M563" s="26" t="s">
        <v>273</v>
      </c>
      <c r="N563" s="21" t="s">
        <v>1680</v>
      </c>
      <c r="O563" s="25">
        <v>392</v>
      </c>
      <c r="P563" s="28" t="s">
        <v>524</v>
      </c>
    </row>
    <row r="564" spans="1:16" s="4" customFormat="1" x14ac:dyDescent="0.25">
      <c r="A564" s="62" t="s">
        <v>1696</v>
      </c>
      <c r="B564" s="12">
        <v>9780230575516</v>
      </c>
      <c r="C564" s="13" t="s">
        <v>1183</v>
      </c>
      <c r="D564" s="14" t="str">
        <f>HYPERLINK("http://www.springer.com/gp/book/9780230575516","Coping with Accession to the European Union")</f>
        <v>Coping with Accession to the European Union</v>
      </c>
      <c r="E564" s="20" t="s">
        <v>1184</v>
      </c>
      <c r="F564" s="15" t="s">
        <v>696</v>
      </c>
      <c r="G564" s="16" t="s">
        <v>1525</v>
      </c>
      <c r="H564" s="17">
        <v>3443</v>
      </c>
      <c r="I564" s="37">
        <v>25</v>
      </c>
      <c r="J564" s="59">
        <v>2582</v>
      </c>
      <c r="K564" s="40">
        <v>109.99</v>
      </c>
      <c r="L564" s="41" t="s">
        <v>275</v>
      </c>
      <c r="M564" s="26" t="s">
        <v>274</v>
      </c>
      <c r="N564" s="11"/>
      <c r="O564" s="15"/>
      <c r="P564" s="16"/>
    </row>
    <row r="565" spans="1:16" s="4" customFormat="1" x14ac:dyDescent="0.25">
      <c r="A565" s="62" t="s">
        <v>1696</v>
      </c>
      <c r="B565" s="12">
        <v>9780230613607</v>
      </c>
      <c r="C565" s="13" t="s">
        <v>1186</v>
      </c>
      <c r="D565" s="14" t="str">
        <f>HYPERLINK("http://www.springer.com/gp/book/9780230613607","Corruption and Money Laundering")</f>
        <v>Corruption and Money Laundering</v>
      </c>
      <c r="E565" s="20" t="s">
        <v>1187</v>
      </c>
      <c r="F565" s="15" t="s">
        <v>696</v>
      </c>
      <c r="G565" s="16" t="s">
        <v>1525</v>
      </c>
      <c r="H565" s="17">
        <v>3130</v>
      </c>
      <c r="I565" s="37">
        <v>25</v>
      </c>
      <c r="J565" s="59">
        <v>2348</v>
      </c>
      <c r="K565" s="40">
        <v>99.99</v>
      </c>
      <c r="L565" s="41" t="s">
        <v>275</v>
      </c>
      <c r="M565" s="26" t="s">
        <v>274</v>
      </c>
      <c r="N565" s="11"/>
      <c r="O565" s="15"/>
      <c r="P565" s="16"/>
    </row>
    <row r="566" spans="1:16" s="4" customFormat="1" x14ac:dyDescent="0.25">
      <c r="A566" s="62" t="s">
        <v>1696</v>
      </c>
      <c r="B566" s="12">
        <v>9780230229495</v>
      </c>
      <c r="C566" s="13" t="s">
        <v>1229</v>
      </c>
      <c r="D566" s="14" t="str">
        <f>HYPERLINK("http://www.springer.com/gp/book/9780230229495","Counter-Terrorism, Aid and Civil Society")</f>
        <v>Counter-Terrorism, Aid and Civil Society</v>
      </c>
      <c r="E566" s="20" t="s">
        <v>1230</v>
      </c>
      <c r="F566" s="15" t="s">
        <v>696</v>
      </c>
      <c r="G566" s="16" t="s">
        <v>1525</v>
      </c>
      <c r="H566" s="17">
        <v>3286</v>
      </c>
      <c r="I566" s="37">
        <v>25</v>
      </c>
      <c r="J566" s="59">
        <v>2465</v>
      </c>
      <c r="K566" s="40">
        <v>104.99</v>
      </c>
      <c r="L566" s="41" t="s">
        <v>275</v>
      </c>
      <c r="M566" s="26" t="s">
        <v>274</v>
      </c>
      <c r="N566" s="11"/>
      <c r="O566" s="15"/>
      <c r="P566" s="16"/>
    </row>
    <row r="567" spans="1:16" s="4" customFormat="1" x14ac:dyDescent="0.25">
      <c r="A567" s="62" t="s">
        <v>1696</v>
      </c>
      <c r="B567" s="12">
        <v>9780230280304</v>
      </c>
      <c r="C567" s="13" t="s">
        <v>1324</v>
      </c>
      <c r="D567" s="14" t="str">
        <f>HYPERLINK("http://www.springer.com/gp/book/9780230280304","Critical International Political Economy")</f>
        <v>Critical International Political Economy</v>
      </c>
      <c r="E567" s="20" t="s">
        <v>1325</v>
      </c>
      <c r="F567" s="15" t="s">
        <v>961</v>
      </c>
      <c r="G567" s="16" t="s">
        <v>1525</v>
      </c>
      <c r="H567" s="17">
        <v>2939</v>
      </c>
      <c r="I567" s="37">
        <v>20</v>
      </c>
      <c r="J567" s="59">
        <v>2351</v>
      </c>
      <c r="K567" s="40">
        <v>72</v>
      </c>
      <c r="L567" s="41" t="s">
        <v>272</v>
      </c>
      <c r="M567" s="26" t="s">
        <v>274</v>
      </c>
      <c r="N567" s="11"/>
      <c r="O567" s="15"/>
      <c r="P567" s="16"/>
    </row>
    <row r="568" spans="1:16" s="4" customFormat="1" x14ac:dyDescent="0.25">
      <c r="A568" s="62" t="s">
        <v>1696</v>
      </c>
      <c r="B568" s="12">
        <v>9781137399618</v>
      </c>
      <c r="C568" s="13" t="s">
        <v>1304</v>
      </c>
      <c r="D568" s="14" t="str">
        <f>HYPERLINK("http://www.springer.com/gp/book/9781137399618","Cyber-War")</f>
        <v>Cyber-War</v>
      </c>
      <c r="E568" s="20" t="s">
        <v>1305</v>
      </c>
      <c r="F568" s="15" t="s">
        <v>708</v>
      </c>
      <c r="G568" s="16" t="s">
        <v>1525</v>
      </c>
      <c r="H568" s="17">
        <v>2147</v>
      </c>
      <c r="I568" s="37">
        <v>20</v>
      </c>
      <c r="J568" s="59">
        <v>1718</v>
      </c>
      <c r="K568" s="40">
        <v>66.989999999999995</v>
      </c>
      <c r="L568" s="41" t="s">
        <v>275</v>
      </c>
      <c r="M568" s="26" t="s">
        <v>274</v>
      </c>
      <c r="N568" s="11"/>
      <c r="O568" s="15"/>
      <c r="P568" s="16"/>
    </row>
    <row r="569" spans="1:16" s="4" customFormat="1" x14ac:dyDescent="0.25">
      <c r="A569" s="62" t="s">
        <v>1696</v>
      </c>
      <c r="B569" s="29">
        <v>9780230108592</v>
      </c>
      <c r="C569" s="30" t="s">
        <v>60</v>
      </c>
      <c r="D569" s="31" t="s">
        <v>61</v>
      </c>
      <c r="E569" s="30"/>
      <c r="F569" s="32">
        <v>2011</v>
      </c>
      <c r="G569" s="19" t="s">
        <v>4</v>
      </c>
      <c r="H569" s="33">
        <v>816</v>
      </c>
      <c r="I569" s="37">
        <v>25</v>
      </c>
      <c r="J569" s="59">
        <v>612</v>
      </c>
      <c r="K569" s="44">
        <v>19.989999999999998</v>
      </c>
      <c r="L569" s="45" t="s">
        <v>272</v>
      </c>
      <c r="M569" s="19" t="s">
        <v>274</v>
      </c>
      <c r="N569" s="29"/>
      <c r="O569" s="18">
        <v>288</v>
      </c>
      <c r="P569" s="19" t="s">
        <v>1534</v>
      </c>
    </row>
    <row r="570" spans="1:16" s="4" customFormat="1" x14ac:dyDescent="0.25">
      <c r="A570" s="62" t="s">
        <v>1696</v>
      </c>
      <c r="B570" s="12">
        <v>9780333763339</v>
      </c>
      <c r="C570" s="13" t="s">
        <v>1247</v>
      </c>
      <c r="D570" s="14" t="str">
        <f>HYPERLINK("http://www.springer.com/gp/book/9780333763339","Democracy and Interest Groups")</f>
        <v>Democracy and Interest Groups</v>
      </c>
      <c r="E570" s="20" t="s">
        <v>1248</v>
      </c>
      <c r="F570" s="15" t="s">
        <v>729</v>
      </c>
      <c r="G570" s="16" t="s">
        <v>1525</v>
      </c>
      <c r="H570" s="17">
        <v>3599</v>
      </c>
      <c r="I570" s="38">
        <v>30</v>
      </c>
      <c r="J570" s="59">
        <v>2519</v>
      </c>
      <c r="K570" s="40">
        <v>114.99</v>
      </c>
      <c r="L570" s="41" t="s">
        <v>275</v>
      </c>
      <c r="M570" s="26" t="s">
        <v>274</v>
      </c>
      <c r="N570" s="11"/>
      <c r="O570" s="15"/>
      <c r="P570" s="16"/>
    </row>
    <row r="571" spans="1:16" s="4" customFormat="1" x14ac:dyDescent="0.25">
      <c r="A571" s="62" t="s">
        <v>1696</v>
      </c>
      <c r="B571" s="12">
        <v>9780230340428</v>
      </c>
      <c r="C571" s="13" t="s">
        <v>39</v>
      </c>
      <c r="D571" s="14" t="str">
        <f>HYPERLINK("http://www.springer.com/gp/book/9780230340428","Democracy Deferred")</f>
        <v>Democracy Deferred</v>
      </c>
      <c r="E571" s="20" t="s">
        <v>1374</v>
      </c>
      <c r="F571" s="15" t="s">
        <v>752</v>
      </c>
      <c r="G571" s="16" t="s">
        <v>1525</v>
      </c>
      <c r="H571" s="17">
        <v>2817</v>
      </c>
      <c r="I571" s="37">
        <v>20</v>
      </c>
      <c r="J571" s="59">
        <v>2254</v>
      </c>
      <c r="K571" s="40">
        <v>89.99</v>
      </c>
      <c r="L571" s="41" t="s">
        <v>275</v>
      </c>
      <c r="M571" s="26" t="s">
        <v>274</v>
      </c>
      <c r="N571" s="11"/>
      <c r="O571" s="15"/>
      <c r="P571" s="16"/>
    </row>
    <row r="572" spans="1:16" s="4" customFormat="1" x14ac:dyDescent="0.25">
      <c r="A572" s="62" t="s">
        <v>1696</v>
      </c>
      <c r="B572" s="12">
        <v>9781137322760</v>
      </c>
      <c r="C572" s="13" t="s">
        <v>1212</v>
      </c>
      <c r="D572" s="14" t="str">
        <f>HYPERLINK("http://www.springer.com/gp/book/9781137322760","Democratic Theorists in Conversation")</f>
        <v>Democratic Theorists in Conversation</v>
      </c>
      <c r="E572" s="20" t="s">
        <v>1213</v>
      </c>
      <c r="F572" s="15" t="s">
        <v>708</v>
      </c>
      <c r="G572" s="16" t="s">
        <v>1525</v>
      </c>
      <c r="H572" s="17">
        <v>2723</v>
      </c>
      <c r="I572" s="37">
        <v>20</v>
      </c>
      <c r="J572" s="59">
        <v>2178</v>
      </c>
      <c r="K572" s="40">
        <v>86.99</v>
      </c>
      <c r="L572" s="41" t="s">
        <v>275</v>
      </c>
      <c r="M572" s="26" t="s">
        <v>274</v>
      </c>
      <c r="N572" s="11"/>
      <c r="O572" s="15"/>
      <c r="P572" s="16"/>
    </row>
    <row r="573" spans="1:16" s="4" customFormat="1" x14ac:dyDescent="0.25">
      <c r="A573" s="62" t="s">
        <v>1696</v>
      </c>
      <c r="B573" s="22">
        <v>9780230220577</v>
      </c>
      <c r="C573" s="23" t="s">
        <v>586</v>
      </c>
      <c r="D573" s="24" t="s">
        <v>585</v>
      </c>
      <c r="E573" s="23"/>
      <c r="F573" s="25">
        <v>2013</v>
      </c>
      <c r="G573" s="26" t="s">
        <v>1678</v>
      </c>
      <c r="H573" s="27">
        <v>1265</v>
      </c>
      <c r="I573" s="37">
        <v>20</v>
      </c>
      <c r="J573" s="59">
        <v>1012</v>
      </c>
      <c r="K573" s="42">
        <v>30.99</v>
      </c>
      <c r="L573" s="43" t="s">
        <v>272</v>
      </c>
      <c r="M573" s="26" t="s">
        <v>273</v>
      </c>
      <c r="N573" s="21" t="s">
        <v>1679</v>
      </c>
      <c r="O573" s="25">
        <v>400</v>
      </c>
      <c r="P573" s="28" t="s">
        <v>587</v>
      </c>
    </row>
    <row r="574" spans="1:16" s="4" customFormat="1" x14ac:dyDescent="0.25">
      <c r="A574" s="62" t="s">
        <v>1696</v>
      </c>
      <c r="B574" s="12">
        <v>9781137343147</v>
      </c>
      <c r="C574" s="13" t="s">
        <v>287</v>
      </c>
      <c r="D574" s="14" t="str">
        <f>HYPERLINK("http://www.springer.com/gp/book/9781137343147","Dirty Cities")</f>
        <v>Dirty Cities</v>
      </c>
      <c r="E574" s="20" t="s">
        <v>1336</v>
      </c>
      <c r="F574" s="15" t="s">
        <v>700</v>
      </c>
      <c r="G574" s="16" t="s">
        <v>1525</v>
      </c>
      <c r="H574" s="17">
        <v>2723</v>
      </c>
      <c r="I574" s="37">
        <v>20</v>
      </c>
      <c r="J574" s="59">
        <v>2178</v>
      </c>
      <c r="K574" s="40">
        <v>86.99</v>
      </c>
      <c r="L574" s="41" t="s">
        <v>275</v>
      </c>
      <c r="M574" s="26" t="s">
        <v>274</v>
      </c>
      <c r="N574" s="11"/>
      <c r="O574" s="15"/>
      <c r="P574" s="16"/>
    </row>
    <row r="575" spans="1:16" s="4" customFormat="1" x14ac:dyDescent="0.25">
      <c r="A575" s="62" t="s">
        <v>1696</v>
      </c>
      <c r="B575" s="12">
        <v>9780230521025</v>
      </c>
      <c r="C575" s="13" t="s">
        <v>1214</v>
      </c>
      <c r="D575" s="14" t="str">
        <f>HYPERLINK("http://www.springer.com/gp/book/9780230521025","Discourse and Transformation in Central and Eastern Europe")</f>
        <v>Discourse and Transformation in Central and Eastern Europe</v>
      </c>
      <c r="E575" s="20"/>
      <c r="F575" s="15" t="s">
        <v>696</v>
      </c>
      <c r="G575" s="16" t="s">
        <v>1525</v>
      </c>
      <c r="H575" s="17">
        <v>3130</v>
      </c>
      <c r="I575" s="37">
        <v>25</v>
      </c>
      <c r="J575" s="59">
        <v>2348</v>
      </c>
      <c r="K575" s="40">
        <v>99.99</v>
      </c>
      <c r="L575" s="41" t="s">
        <v>275</v>
      </c>
      <c r="M575" s="26" t="s">
        <v>274</v>
      </c>
      <c r="N575" s="11"/>
      <c r="O575" s="15"/>
      <c r="P575" s="16"/>
    </row>
    <row r="576" spans="1:16" s="4" customFormat="1" x14ac:dyDescent="0.25">
      <c r="A576" s="62" t="s">
        <v>1696</v>
      </c>
      <c r="B576" s="12">
        <v>9780230224261</v>
      </c>
      <c r="C576" s="13" t="s">
        <v>992</v>
      </c>
      <c r="D576" s="14" t="str">
        <f>HYPERLINK("http://www.springer.com/gp/book/9780230224261","Ecological Modernisation and Renewable Energy")</f>
        <v>Ecological Modernisation and Renewable Energy</v>
      </c>
      <c r="E576" s="20"/>
      <c r="F576" s="15" t="s">
        <v>714</v>
      </c>
      <c r="G576" s="16" t="s">
        <v>1525</v>
      </c>
      <c r="H576" s="17">
        <v>3130</v>
      </c>
      <c r="I576" s="37">
        <v>25</v>
      </c>
      <c r="J576" s="59">
        <v>2348</v>
      </c>
      <c r="K576" s="40">
        <v>99.99</v>
      </c>
      <c r="L576" s="41" t="s">
        <v>275</v>
      </c>
      <c r="M576" s="26" t="s">
        <v>274</v>
      </c>
      <c r="N576" s="11"/>
      <c r="O576" s="15"/>
      <c r="P576" s="16"/>
    </row>
    <row r="577" spans="1:16" s="4" customFormat="1" x14ac:dyDescent="0.25">
      <c r="A577" s="62" t="s">
        <v>1696</v>
      </c>
      <c r="B577" s="12">
        <v>9781403918918</v>
      </c>
      <c r="C577" s="13" t="s">
        <v>1285</v>
      </c>
      <c r="D577" s="14" t="str">
        <f>HYPERLINK("http://www.springer.com/gp/book/9781403918918","Egalitarian Politics in the Age of Globalization")</f>
        <v>Egalitarian Politics in the Age of Globalization</v>
      </c>
      <c r="E577" s="20"/>
      <c r="F577" s="15" t="s">
        <v>829</v>
      </c>
      <c r="G577" s="16" t="s">
        <v>1525</v>
      </c>
      <c r="H577" s="17">
        <v>1442</v>
      </c>
      <c r="I577" s="38">
        <v>30</v>
      </c>
      <c r="J577" s="59">
        <v>1009</v>
      </c>
      <c r="K577" s="40">
        <v>44.99</v>
      </c>
      <c r="L577" s="41" t="s">
        <v>275</v>
      </c>
      <c r="M577" s="19" t="s">
        <v>273</v>
      </c>
      <c r="N577" s="11"/>
      <c r="O577" s="15"/>
      <c r="P577" s="16"/>
    </row>
    <row r="578" spans="1:16" s="4" customFormat="1" x14ac:dyDescent="0.25">
      <c r="A578" s="62" t="s">
        <v>1696</v>
      </c>
      <c r="B578" s="12">
        <v>9781137383051</v>
      </c>
      <c r="C578" s="13" t="s">
        <v>1153</v>
      </c>
      <c r="D578" s="14" t="str">
        <f>HYPERLINK("http://www.springer.com/gp/book/9781137383051","Emerging Capitalism in Central Europe and Southeast Asia")</f>
        <v>Emerging Capitalism in Central Europe and Southeast Asia</v>
      </c>
      <c r="E578" s="20" t="s">
        <v>1154</v>
      </c>
      <c r="F578" s="15" t="s">
        <v>708</v>
      </c>
      <c r="G578" s="16" t="s">
        <v>1525</v>
      </c>
      <c r="H578" s="17">
        <v>2817</v>
      </c>
      <c r="I578" s="37">
        <v>20</v>
      </c>
      <c r="J578" s="59">
        <v>2254</v>
      </c>
      <c r="K578" s="40">
        <v>89.99</v>
      </c>
      <c r="L578" s="41" t="s">
        <v>275</v>
      </c>
      <c r="M578" s="26" t="s">
        <v>274</v>
      </c>
      <c r="N578" s="11"/>
      <c r="O578" s="15"/>
      <c r="P578" s="16"/>
    </row>
    <row r="579" spans="1:16" s="4" customFormat="1" x14ac:dyDescent="0.25">
      <c r="A579" s="62" t="s">
        <v>1696</v>
      </c>
      <c r="B579" s="12">
        <v>9780230612396</v>
      </c>
      <c r="C579" s="13" t="s">
        <v>941</v>
      </c>
      <c r="D579" s="14" t="str">
        <f>HYPERLINK("http://www.springer.com/gp/book/9780230612396","Ethics and Teaching")</f>
        <v>Ethics and Teaching</v>
      </c>
      <c r="E579" s="20" t="s">
        <v>942</v>
      </c>
      <c r="F579" s="15" t="s">
        <v>696</v>
      </c>
      <c r="G579" s="16" t="s">
        <v>1525</v>
      </c>
      <c r="H579" s="17">
        <v>3130</v>
      </c>
      <c r="I579" s="37">
        <v>25</v>
      </c>
      <c r="J579" s="59">
        <v>2348</v>
      </c>
      <c r="K579" s="40">
        <v>99.99</v>
      </c>
      <c r="L579" s="41" t="s">
        <v>275</v>
      </c>
      <c r="M579" s="26" t="s">
        <v>274</v>
      </c>
      <c r="N579" s="11"/>
      <c r="O579" s="15"/>
      <c r="P579" s="16"/>
    </row>
    <row r="580" spans="1:16" s="4" customFormat="1" x14ac:dyDescent="0.25">
      <c r="A580" s="62" t="s">
        <v>1696</v>
      </c>
      <c r="B580" s="12">
        <v>9781137308764</v>
      </c>
      <c r="C580" s="13" t="s">
        <v>1341</v>
      </c>
      <c r="D580" s="14" t="str">
        <f>HYPERLINK("http://www.springer.com/gp/book/9781137308764","Ethnic Cleansing and the European Union")</f>
        <v>Ethnic Cleansing and the European Union</v>
      </c>
      <c r="E580" s="20" t="s">
        <v>1342</v>
      </c>
      <c r="F580" s="15" t="s">
        <v>700</v>
      </c>
      <c r="G580" s="16" t="s">
        <v>1525</v>
      </c>
      <c r="H580" s="17">
        <v>2660</v>
      </c>
      <c r="I580" s="37">
        <v>20</v>
      </c>
      <c r="J580" s="59">
        <v>2128</v>
      </c>
      <c r="K580" s="40">
        <v>84.99</v>
      </c>
      <c r="L580" s="41" t="s">
        <v>275</v>
      </c>
      <c r="M580" s="26" t="s">
        <v>274</v>
      </c>
      <c r="N580" s="11"/>
      <c r="O580" s="15"/>
      <c r="P580" s="16"/>
    </row>
    <row r="581" spans="1:16" s="4" customFormat="1" x14ac:dyDescent="0.25">
      <c r="A581" s="62" t="s">
        <v>1696</v>
      </c>
      <c r="B581" s="12">
        <v>9780230524729</v>
      </c>
      <c r="C581" s="13" t="s">
        <v>1157</v>
      </c>
      <c r="D581" s="14" t="str">
        <f>HYPERLINK("http://www.springer.com/gp/book/9780230524729","EU Cohesion Policy after Enlargement")</f>
        <v>EU Cohesion Policy after Enlargement</v>
      </c>
      <c r="E581" s="20"/>
      <c r="F581" s="15" t="s">
        <v>705</v>
      </c>
      <c r="G581" s="16" t="s">
        <v>1525</v>
      </c>
      <c r="H581" s="17">
        <v>3756</v>
      </c>
      <c r="I581" s="37">
        <v>25</v>
      </c>
      <c r="J581" s="59">
        <v>2817</v>
      </c>
      <c r="K581" s="40">
        <v>119.99</v>
      </c>
      <c r="L581" s="41" t="s">
        <v>275</v>
      </c>
      <c r="M581" s="26" t="s">
        <v>274</v>
      </c>
      <c r="N581" s="11"/>
      <c r="O581" s="15"/>
      <c r="P581" s="16"/>
    </row>
    <row r="582" spans="1:16" s="4" customFormat="1" x14ac:dyDescent="0.25">
      <c r="A582" s="62" t="s">
        <v>1696</v>
      </c>
      <c r="B582" s="12">
        <v>9781137012548</v>
      </c>
      <c r="C582" s="13" t="s">
        <v>1352</v>
      </c>
      <c r="D582" s="14" t="str">
        <f>HYPERLINK("http://www.springer.com/gp/book/9781137012548","EU Effectiveness and Unity in Multilateral Negotiations")</f>
        <v>EU Effectiveness and Unity in Multilateral Negotiations</v>
      </c>
      <c r="E582" s="20" t="s">
        <v>1353</v>
      </c>
      <c r="F582" s="15" t="s">
        <v>700</v>
      </c>
      <c r="G582" s="16" t="s">
        <v>1525</v>
      </c>
      <c r="H582" s="17">
        <v>2817</v>
      </c>
      <c r="I582" s="37">
        <v>20</v>
      </c>
      <c r="J582" s="59">
        <v>2254</v>
      </c>
      <c r="K582" s="40">
        <v>89.99</v>
      </c>
      <c r="L582" s="41" t="s">
        <v>275</v>
      </c>
      <c r="M582" s="26" t="s">
        <v>274</v>
      </c>
      <c r="N582" s="11"/>
      <c r="O582" s="15"/>
      <c r="P582" s="16"/>
    </row>
    <row r="583" spans="1:16" s="4" customFormat="1" x14ac:dyDescent="0.25">
      <c r="A583" s="62" t="s">
        <v>1696</v>
      </c>
      <c r="B583" s="12">
        <v>9781137274489</v>
      </c>
      <c r="C583" s="13" t="s">
        <v>1203</v>
      </c>
      <c r="D583" s="14" t="str">
        <f>HYPERLINK("http://www.springer.com/gp/book/9781137274489","EU Railway Policy-Making")</f>
        <v>EU Railway Policy-Making</v>
      </c>
      <c r="E583" s="20" t="s">
        <v>1204</v>
      </c>
      <c r="F583" s="15" t="s">
        <v>700</v>
      </c>
      <c r="G583" s="16" t="s">
        <v>1525</v>
      </c>
      <c r="H583" s="17">
        <v>2563</v>
      </c>
      <c r="I583" s="37">
        <v>20</v>
      </c>
      <c r="J583" s="59">
        <v>2050</v>
      </c>
      <c r="K583" s="40">
        <v>79.989999999999995</v>
      </c>
      <c r="L583" s="41" t="s">
        <v>275</v>
      </c>
      <c r="M583" s="26" t="s">
        <v>274</v>
      </c>
      <c r="N583" s="11"/>
      <c r="O583" s="15"/>
      <c r="P583" s="16"/>
    </row>
    <row r="584" spans="1:16" s="4" customFormat="1" x14ac:dyDescent="0.25">
      <c r="A584" s="62" t="s">
        <v>1696</v>
      </c>
      <c r="B584" s="12">
        <v>9780230361812</v>
      </c>
      <c r="C584" s="13" t="s">
        <v>1250</v>
      </c>
      <c r="D584" s="14" t="str">
        <f>HYPERLINK("http://www.springer.com/gp/book/9780230361812","European Security, Terrorism and Intelligence")</f>
        <v>European Security, Terrorism and Intelligence</v>
      </c>
      <c r="E584" s="20" t="s">
        <v>1251</v>
      </c>
      <c r="F584" s="15" t="s">
        <v>700</v>
      </c>
      <c r="G584" s="16" t="s">
        <v>1525</v>
      </c>
      <c r="H584" s="17">
        <v>2660</v>
      </c>
      <c r="I584" s="37">
        <v>20</v>
      </c>
      <c r="J584" s="59">
        <v>2128</v>
      </c>
      <c r="K584" s="40">
        <v>84.99</v>
      </c>
      <c r="L584" s="41" t="s">
        <v>275</v>
      </c>
      <c r="M584" s="26" t="s">
        <v>274</v>
      </c>
      <c r="N584" s="11"/>
      <c r="O584" s="15"/>
      <c r="P584" s="16"/>
    </row>
    <row r="585" spans="1:16" s="4" customFormat="1" x14ac:dyDescent="0.25">
      <c r="A585" s="62" t="s">
        <v>1696</v>
      </c>
      <c r="B585" s="12">
        <v>9780230299993</v>
      </c>
      <c r="C585" s="13" t="s">
        <v>243</v>
      </c>
      <c r="D585" s="14" t="str">
        <f>HYPERLINK("http://www.springer.com/gp/book/9780230299993","Europe's Migrant Policies")</f>
        <v>Europe's Migrant Policies</v>
      </c>
      <c r="E585" s="20" t="s">
        <v>1284</v>
      </c>
      <c r="F585" s="15" t="s">
        <v>714</v>
      </c>
      <c r="G585" s="16" t="s">
        <v>1525</v>
      </c>
      <c r="H585" s="17">
        <v>2817</v>
      </c>
      <c r="I585" s="37">
        <v>25</v>
      </c>
      <c r="J585" s="59">
        <v>2113</v>
      </c>
      <c r="K585" s="40">
        <v>89.99</v>
      </c>
      <c r="L585" s="41" t="s">
        <v>275</v>
      </c>
      <c r="M585" s="26" t="s">
        <v>274</v>
      </c>
      <c r="N585" s="11"/>
      <c r="O585" s="15"/>
      <c r="P585" s="16"/>
    </row>
    <row r="586" spans="1:16" s="4" customFormat="1" x14ac:dyDescent="0.25">
      <c r="A586" s="62" t="s">
        <v>1696</v>
      </c>
      <c r="B586" s="12">
        <v>9781137291011</v>
      </c>
      <c r="C586" s="13" t="s">
        <v>1190</v>
      </c>
      <c r="D586" s="14" t="str">
        <f>HYPERLINK("http://www.springer.com/gp/book/9781137291011","Evidence for Public Policy Design")</f>
        <v>Evidence for Public Policy Design</v>
      </c>
      <c r="E586" s="20" t="s">
        <v>1191</v>
      </c>
      <c r="F586" s="15" t="s">
        <v>700</v>
      </c>
      <c r="G586" s="16" t="s">
        <v>1525</v>
      </c>
      <c r="H586" s="17">
        <v>2147</v>
      </c>
      <c r="I586" s="37">
        <v>20</v>
      </c>
      <c r="J586" s="59">
        <v>1718</v>
      </c>
      <c r="K586" s="40">
        <v>66.989999999999995</v>
      </c>
      <c r="L586" s="41" t="s">
        <v>275</v>
      </c>
      <c r="M586" s="26" t="s">
        <v>274</v>
      </c>
      <c r="N586" s="11"/>
      <c r="O586" s="15"/>
      <c r="P586" s="16"/>
    </row>
    <row r="587" spans="1:16" s="4" customFormat="1" x14ac:dyDescent="0.25">
      <c r="A587" s="62" t="s">
        <v>1696</v>
      </c>
      <c r="B587" s="12">
        <v>9780230300859</v>
      </c>
      <c r="C587" s="13" t="s">
        <v>1255</v>
      </c>
      <c r="D587" s="14" t="str">
        <f>HYPERLINK("http://www.springer.com/gp/book/9780230300859","Experimental Political Science")</f>
        <v>Experimental Political Science</v>
      </c>
      <c r="E587" s="20" t="s">
        <v>1256</v>
      </c>
      <c r="F587" s="15" t="s">
        <v>752</v>
      </c>
      <c r="G587" s="16" t="s">
        <v>1525</v>
      </c>
      <c r="H587" s="17">
        <v>3286</v>
      </c>
      <c r="I587" s="37">
        <v>20</v>
      </c>
      <c r="J587" s="59">
        <v>2629</v>
      </c>
      <c r="K587" s="40">
        <v>104.99</v>
      </c>
      <c r="L587" s="41" t="s">
        <v>275</v>
      </c>
      <c r="M587" s="26" t="s">
        <v>274</v>
      </c>
      <c r="N587" s="11"/>
      <c r="O587" s="15"/>
      <c r="P587" s="16"/>
    </row>
    <row r="588" spans="1:16" s="4" customFormat="1" x14ac:dyDescent="0.25">
      <c r="A588" s="62" t="s">
        <v>1696</v>
      </c>
      <c r="B588" s="12">
        <v>9780333694770</v>
      </c>
      <c r="C588" s="13" t="s">
        <v>1365</v>
      </c>
      <c r="D588" s="14" t="str">
        <f>HYPERLINK("http://www.springer.com/gp/book/9780333694770","From Civilian Power to SuperPower?")</f>
        <v>From Civilian Power to SuperPower?</v>
      </c>
      <c r="E588" s="20"/>
      <c r="F588" s="15" t="s">
        <v>1368</v>
      </c>
      <c r="G588" s="16" t="s">
        <v>1525</v>
      </c>
      <c r="H588" s="17">
        <v>5947</v>
      </c>
      <c r="I588" s="38">
        <v>30</v>
      </c>
      <c r="J588" s="59">
        <v>4163</v>
      </c>
      <c r="K588" s="40">
        <v>189.99</v>
      </c>
      <c r="L588" s="41" t="s">
        <v>275</v>
      </c>
      <c r="M588" s="26" t="s">
        <v>274</v>
      </c>
      <c r="N588" s="11"/>
      <c r="O588" s="15"/>
      <c r="P588" s="16"/>
    </row>
    <row r="589" spans="1:16" s="4" customFormat="1" x14ac:dyDescent="0.25">
      <c r="A589" s="62" t="s">
        <v>1696</v>
      </c>
      <c r="B589" s="12">
        <v>9781137012463</v>
      </c>
      <c r="C589" s="13" t="s">
        <v>1335</v>
      </c>
      <c r="D589" s="14" t="str">
        <f>HYPERLINK("http://www.springer.com/gp/book/9781137012463","Functions, Methods and Concepts in Evaluation Research")</f>
        <v>Functions, Methods and Concepts in Evaluation Research</v>
      </c>
      <c r="E589" s="20"/>
      <c r="F589" s="15" t="s">
        <v>700</v>
      </c>
      <c r="G589" s="16" t="s">
        <v>1525</v>
      </c>
      <c r="H589" s="17">
        <v>3130</v>
      </c>
      <c r="I589" s="37">
        <v>20</v>
      </c>
      <c r="J589" s="59">
        <v>2504</v>
      </c>
      <c r="K589" s="40">
        <v>99.99</v>
      </c>
      <c r="L589" s="41" t="s">
        <v>275</v>
      </c>
      <c r="M589" s="26" t="s">
        <v>274</v>
      </c>
      <c r="N589" s="11"/>
      <c r="O589" s="15"/>
      <c r="P589" s="16"/>
    </row>
    <row r="590" spans="1:16" s="4" customFormat="1" x14ac:dyDescent="0.25">
      <c r="A590" s="62" t="s">
        <v>1696</v>
      </c>
      <c r="B590" s="12">
        <v>9781137286864</v>
      </c>
      <c r="C590" s="13" t="s">
        <v>286</v>
      </c>
      <c r="D590" s="14" t="str">
        <f>HYPERLINK("http://www.springer.com/gp/book/9781137286864","Global City Challenges")</f>
        <v>Global City Challenges</v>
      </c>
      <c r="E590" s="20" t="s">
        <v>1142</v>
      </c>
      <c r="F590" s="15" t="s">
        <v>700</v>
      </c>
      <c r="G590" s="16" t="s">
        <v>1525</v>
      </c>
      <c r="H590" s="17">
        <v>3130</v>
      </c>
      <c r="I590" s="37">
        <v>20</v>
      </c>
      <c r="J590" s="59">
        <v>2504</v>
      </c>
      <c r="K590" s="40">
        <v>99.99</v>
      </c>
      <c r="L590" s="41" t="s">
        <v>275</v>
      </c>
      <c r="M590" s="26" t="s">
        <v>274</v>
      </c>
      <c r="N590" s="11"/>
      <c r="O590" s="15"/>
      <c r="P590" s="16"/>
    </row>
    <row r="591" spans="1:16" s="4" customFormat="1" x14ac:dyDescent="0.25">
      <c r="A591" s="62" t="s">
        <v>1696</v>
      </c>
      <c r="B591" s="22">
        <v>9780230274563</v>
      </c>
      <c r="C591" s="23" t="s">
        <v>373</v>
      </c>
      <c r="D591" s="24" t="s">
        <v>372</v>
      </c>
      <c r="E591" s="23"/>
      <c r="F591" s="25">
        <v>2011</v>
      </c>
      <c r="G591" s="26" t="s">
        <v>1678</v>
      </c>
      <c r="H591" s="27">
        <v>1143</v>
      </c>
      <c r="I591" s="37">
        <v>25</v>
      </c>
      <c r="J591" s="59">
        <v>857</v>
      </c>
      <c r="K591" s="42">
        <v>27.99</v>
      </c>
      <c r="L591" s="43" t="s">
        <v>272</v>
      </c>
      <c r="M591" s="26" t="s">
        <v>273</v>
      </c>
      <c r="N591" s="21" t="s">
        <v>1679</v>
      </c>
      <c r="O591" s="25">
        <v>280</v>
      </c>
      <c r="P591" s="28" t="s">
        <v>374</v>
      </c>
    </row>
    <row r="592" spans="1:16" s="4" customFormat="1" x14ac:dyDescent="0.25">
      <c r="A592" s="62" t="s">
        <v>1696</v>
      </c>
      <c r="B592" s="12">
        <v>9780230250390</v>
      </c>
      <c r="C592" s="13" t="s">
        <v>1188</v>
      </c>
      <c r="D592" s="14" t="str">
        <f>HYPERLINK("http://www.springer.com/gp/book/9780230250390","Governance Theory and Practice")</f>
        <v>Governance Theory and Practice</v>
      </c>
      <c r="E592" s="20" t="s">
        <v>1189</v>
      </c>
      <c r="F592" s="15" t="s">
        <v>705</v>
      </c>
      <c r="G592" s="16" t="s">
        <v>1525</v>
      </c>
      <c r="H592" s="17">
        <v>1185</v>
      </c>
      <c r="I592" s="37">
        <v>25</v>
      </c>
      <c r="J592" s="59">
        <v>889</v>
      </c>
      <c r="K592" s="40">
        <v>36.99</v>
      </c>
      <c r="L592" s="41" t="s">
        <v>275</v>
      </c>
      <c r="M592" s="19" t="s">
        <v>273</v>
      </c>
      <c r="N592" s="11"/>
      <c r="O592" s="15"/>
      <c r="P592" s="16"/>
    </row>
    <row r="593" spans="1:16" s="4" customFormat="1" x14ac:dyDescent="0.25">
      <c r="A593" s="62" t="s">
        <v>1696</v>
      </c>
      <c r="B593" s="12">
        <v>9780230605886</v>
      </c>
      <c r="C593" s="13" t="s">
        <v>1150</v>
      </c>
      <c r="D593" s="14" t="str">
        <f>HYPERLINK("http://www.springer.com/gp/book/9780230605886","Hezbollah: The Story of the Party of God")</f>
        <v>Hezbollah: The Story of the Party of God</v>
      </c>
      <c r="E593" s="20" t="s">
        <v>1151</v>
      </c>
      <c r="F593" s="15" t="s">
        <v>696</v>
      </c>
      <c r="G593" s="16" t="s">
        <v>1525</v>
      </c>
      <c r="H593" s="17">
        <v>3286</v>
      </c>
      <c r="I593" s="37">
        <v>25</v>
      </c>
      <c r="J593" s="59">
        <v>2465</v>
      </c>
      <c r="K593" s="40">
        <v>104.99</v>
      </c>
      <c r="L593" s="41" t="s">
        <v>275</v>
      </c>
      <c r="M593" s="26" t="s">
        <v>274</v>
      </c>
      <c r="N593" s="11"/>
      <c r="O593" s="15"/>
      <c r="P593" s="16"/>
    </row>
    <row r="594" spans="1:16" s="4" customFormat="1" x14ac:dyDescent="0.25">
      <c r="A594" s="62" t="s">
        <v>1696</v>
      </c>
      <c r="B594" s="12">
        <v>9780230354333</v>
      </c>
      <c r="C594" s="13" t="s">
        <v>1280</v>
      </c>
      <c r="D594" s="14" t="str">
        <f>HYPERLINK("http://www.springer.com/gp/book/9780230354333","History, Memory and Politics in Central and Eastern Europe")</f>
        <v>History, Memory and Politics in Central and Eastern Europe</v>
      </c>
      <c r="E594" s="20" t="s">
        <v>1281</v>
      </c>
      <c r="F594" s="15" t="s">
        <v>700</v>
      </c>
      <c r="G594" s="16" t="s">
        <v>1525</v>
      </c>
      <c r="H594" s="17">
        <v>2817</v>
      </c>
      <c r="I594" s="37">
        <v>20</v>
      </c>
      <c r="J594" s="59">
        <v>2254</v>
      </c>
      <c r="K594" s="40">
        <v>89.99</v>
      </c>
      <c r="L594" s="41" t="s">
        <v>275</v>
      </c>
      <c r="M594" s="26" t="s">
        <v>274</v>
      </c>
      <c r="N594" s="11"/>
      <c r="O594" s="15"/>
      <c r="P594" s="16"/>
    </row>
    <row r="595" spans="1:16" s="4" customFormat="1" x14ac:dyDescent="0.25">
      <c r="A595" s="62" t="s">
        <v>1696</v>
      </c>
      <c r="B595" s="12">
        <v>9781137371430</v>
      </c>
      <c r="C595" s="13" t="s">
        <v>1296</v>
      </c>
      <c r="D595" s="14" t="str">
        <f>HYPERLINK("http://www.springer.com/gp/book/9781137371430","Honor Killings in the Twenty-First Century")</f>
        <v>Honor Killings in the Twenty-First Century</v>
      </c>
      <c r="E595" s="20"/>
      <c r="F595" s="15" t="s">
        <v>752</v>
      </c>
      <c r="G595" s="16" t="s">
        <v>1525</v>
      </c>
      <c r="H595" s="17">
        <v>961</v>
      </c>
      <c r="I595" s="37">
        <v>20</v>
      </c>
      <c r="J595" s="59">
        <v>769</v>
      </c>
      <c r="K595" s="40">
        <v>29.99</v>
      </c>
      <c r="L595" s="41" t="s">
        <v>275</v>
      </c>
      <c r="M595" s="19" t="s">
        <v>273</v>
      </c>
      <c r="N595" s="11"/>
      <c r="O595" s="15"/>
      <c r="P595" s="16"/>
    </row>
    <row r="596" spans="1:16" s="4" customFormat="1" x14ac:dyDescent="0.25">
      <c r="A596" s="63" t="s">
        <v>1696</v>
      </c>
      <c r="B596" s="22">
        <v>9781137301550</v>
      </c>
      <c r="C596" s="23" t="s">
        <v>77</v>
      </c>
      <c r="D596" s="24" t="s">
        <v>452</v>
      </c>
      <c r="E596" s="23"/>
      <c r="F596" s="25">
        <v>2013</v>
      </c>
      <c r="G596" s="26" t="s">
        <v>1678</v>
      </c>
      <c r="H596" s="27">
        <v>1143</v>
      </c>
      <c r="I596" s="37">
        <v>20</v>
      </c>
      <c r="J596" s="59">
        <v>914</v>
      </c>
      <c r="K596" s="42">
        <v>27.99</v>
      </c>
      <c r="L596" s="43" t="s">
        <v>272</v>
      </c>
      <c r="M596" s="26" t="s">
        <v>273</v>
      </c>
      <c r="N596" s="21" t="s">
        <v>1679</v>
      </c>
      <c r="O596" s="25">
        <v>372</v>
      </c>
      <c r="P596" s="28" t="s">
        <v>453</v>
      </c>
    </row>
    <row r="597" spans="1:16" s="4" customFormat="1" x14ac:dyDescent="0.25">
      <c r="A597" s="62" t="s">
        <v>1696</v>
      </c>
      <c r="B597" s="12">
        <v>9780230341142</v>
      </c>
      <c r="C597" s="13" t="s">
        <v>1361</v>
      </c>
      <c r="D597" s="14" t="str">
        <f>HYPERLINK("http://www.springer.com/gp/book/9780230341142","Hyperdemocracy")</f>
        <v>Hyperdemocracy</v>
      </c>
      <c r="E597" s="20"/>
      <c r="F597" s="15" t="s">
        <v>700</v>
      </c>
      <c r="G597" s="16" t="s">
        <v>1525</v>
      </c>
      <c r="H597" s="17">
        <v>2660</v>
      </c>
      <c r="I597" s="37">
        <v>20</v>
      </c>
      <c r="J597" s="59">
        <v>2128</v>
      </c>
      <c r="K597" s="40">
        <v>84.99</v>
      </c>
      <c r="L597" s="41" t="s">
        <v>275</v>
      </c>
      <c r="M597" s="26" t="s">
        <v>274</v>
      </c>
      <c r="N597" s="11"/>
      <c r="O597" s="15"/>
      <c r="P597" s="16"/>
    </row>
    <row r="598" spans="1:16" s="4" customFormat="1" x14ac:dyDescent="0.25">
      <c r="A598" s="62" t="s">
        <v>1696</v>
      </c>
      <c r="B598" s="12">
        <v>9780230230453</v>
      </c>
      <c r="C598" s="13" t="s">
        <v>1263</v>
      </c>
      <c r="D598" s="14" t="str">
        <f>HYPERLINK("http://www.springer.com/gp/book/9780230230453","Immigrants, Literature and National Integration")</f>
        <v>Immigrants, Literature and National Integration</v>
      </c>
      <c r="E598" s="20"/>
      <c r="F598" s="15" t="s">
        <v>688</v>
      </c>
      <c r="G598" s="16" t="s">
        <v>1525</v>
      </c>
      <c r="H598" s="17">
        <v>3130</v>
      </c>
      <c r="I598" s="37">
        <v>25</v>
      </c>
      <c r="J598" s="59">
        <v>2348</v>
      </c>
      <c r="K598" s="40">
        <v>99.99</v>
      </c>
      <c r="L598" s="41" t="s">
        <v>275</v>
      </c>
      <c r="M598" s="26" t="s">
        <v>274</v>
      </c>
      <c r="N598" s="11"/>
      <c r="O598" s="15"/>
      <c r="P598" s="16"/>
    </row>
    <row r="599" spans="1:16" s="4" customFormat="1" x14ac:dyDescent="0.25">
      <c r="A599" s="62" t="s">
        <v>1696</v>
      </c>
      <c r="B599" s="22">
        <v>9780230271944</v>
      </c>
      <c r="C599" s="23" t="s">
        <v>551</v>
      </c>
      <c r="D599" s="24" t="s">
        <v>550</v>
      </c>
      <c r="E599" s="23"/>
      <c r="F599" s="25">
        <v>2011</v>
      </c>
      <c r="G599" s="26" t="s">
        <v>1678</v>
      </c>
      <c r="H599" s="27">
        <v>1224</v>
      </c>
      <c r="I599" s="37">
        <v>25</v>
      </c>
      <c r="J599" s="59">
        <v>918</v>
      </c>
      <c r="K599" s="42">
        <v>29.99</v>
      </c>
      <c r="L599" s="43" t="s">
        <v>272</v>
      </c>
      <c r="M599" s="26" t="s">
        <v>273</v>
      </c>
      <c r="N599" s="21" t="s">
        <v>1680</v>
      </c>
      <c r="O599" s="25">
        <v>288</v>
      </c>
      <c r="P599" s="28" t="s">
        <v>552</v>
      </c>
    </row>
    <row r="600" spans="1:16" s="4" customFormat="1" x14ac:dyDescent="0.25">
      <c r="A600" s="62" t="s">
        <v>1696</v>
      </c>
      <c r="B600" s="29">
        <v>9781403987044</v>
      </c>
      <c r="C600" s="30" t="s">
        <v>82</v>
      </c>
      <c r="D600" s="31" t="s">
        <v>550</v>
      </c>
      <c r="E600" s="30"/>
      <c r="F600" s="32">
        <v>2007</v>
      </c>
      <c r="G600" s="19" t="s">
        <v>4</v>
      </c>
      <c r="H600" s="33">
        <v>1102</v>
      </c>
      <c r="I600" s="38">
        <v>30</v>
      </c>
      <c r="J600" s="59">
        <v>771</v>
      </c>
      <c r="K600" s="44">
        <v>26.99</v>
      </c>
      <c r="L600" s="45" t="s">
        <v>272</v>
      </c>
      <c r="M600" s="19" t="s">
        <v>273</v>
      </c>
      <c r="N600" s="21" t="s">
        <v>1679</v>
      </c>
      <c r="O600" s="18">
        <v>272</v>
      </c>
      <c r="P600" s="19" t="s">
        <v>1657</v>
      </c>
    </row>
    <row r="601" spans="1:16" s="4" customFormat="1" x14ac:dyDescent="0.25">
      <c r="A601" s="62" t="s">
        <v>1696</v>
      </c>
      <c r="B601" s="12">
        <v>9781137366283</v>
      </c>
      <c r="C601" s="13" t="s">
        <v>1372</v>
      </c>
      <c r="D601" s="14" t="str">
        <f>HYPERLINK("http://www.springer.com/gp/book/9781137366283","International Education Programs and Political Influence")</f>
        <v>International Education Programs and Political Influence</v>
      </c>
      <c r="E601" s="20" t="s">
        <v>1373</v>
      </c>
      <c r="F601" s="15" t="s">
        <v>708</v>
      </c>
      <c r="G601" s="16" t="s">
        <v>1525</v>
      </c>
      <c r="H601" s="17">
        <v>2660</v>
      </c>
      <c r="I601" s="37">
        <v>20</v>
      </c>
      <c r="J601" s="59">
        <v>2128</v>
      </c>
      <c r="K601" s="40">
        <v>84.99</v>
      </c>
      <c r="L601" s="41" t="s">
        <v>275</v>
      </c>
      <c r="M601" s="26" t="s">
        <v>274</v>
      </c>
      <c r="N601" s="11"/>
      <c r="O601" s="15"/>
      <c r="P601" s="16"/>
    </row>
    <row r="602" spans="1:16" s="4" customFormat="1" x14ac:dyDescent="0.25">
      <c r="A602" s="62" t="s">
        <v>1696</v>
      </c>
      <c r="B602" s="22">
        <v>9780230203150</v>
      </c>
      <c r="C602" s="23" t="s">
        <v>245</v>
      </c>
      <c r="D602" s="24" t="s">
        <v>246</v>
      </c>
      <c r="E602" s="23"/>
      <c r="F602" s="25">
        <v>2010</v>
      </c>
      <c r="G602" s="26" t="s">
        <v>1678</v>
      </c>
      <c r="H602" s="27">
        <v>1224</v>
      </c>
      <c r="I602" s="37">
        <v>25</v>
      </c>
      <c r="J602" s="59">
        <v>918</v>
      </c>
      <c r="K602" s="42">
        <v>29.99</v>
      </c>
      <c r="L602" s="43" t="s">
        <v>272</v>
      </c>
      <c r="M602" s="26" t="s">
        <v>273</v>
      </c>
      <c r="N602" s="21"/>
      <c r="O602" s="25">
        <v>320</v>
      </c>
      <c r="P602" s="28" t="s">
        <v>542</v>
      </c>
    </row>
    <row r="603" spans="1:16" s="4" customFormat="1" x14ac:dyDescent="0.25">
      <c r="A603" s="62" t="s">
        <v>1696</v>
      </c>
      <c r="B603" s="12">
        <v>9780333712757</v>
      </c>
      <c r="C603" s="13" t="s">
        <v>1331</v>
      </c>
      <c r="D603" s="14" t="str">
        <f>HYPERLINK("http://www.springer.com/gp/book/9780333712757","Islam, Modernity and Entrepreneurship among the Malays")</f>
        <v>Islam, Modernity and Entrepreneurship among the Malays</v>
      </c>
      <c r="E603" s="20"/>
      <c r="F603" s="15" t="s">
        <v>1139</v>
      </c>
      <c r="G603" s="16" t="s">
        <v>1525</v>
      </c>
      <c r="H603" s="17">
        <v>4538</v>
      </c>
      <c r="I603" s="38">
        <v>30</v>
      </c>
      <c r="J603" s="59">
        <v>3177</v>
      </c>
      <c r="K603" s="40">
        <v>144.99</v>
      </c>
      <c r="L603" s="41" t="s">
        <v>275</v>
      </c>
      <c r="M603" s="26" t="s">
        <v>274</v>
      </c>
      <c r="N603" s="11"/>
      <c r="O603" s="15"/>
      <c r="P603" s="16"/>
    </row>
    <row r="604" spans="1:16" s="4" customFormat="1" x14ac:dyDescent="0.25">
      <c r="A604" s="62" t="s">
        <v>1696</v>
      </c>
      <c r="B604" s="29">
        <v>9780230594524</v>
      </c>
      <c r="C604" s="30" t="s">
        <v>84</v>
      </c>
      <c r="D604" s="31" t="s">
        <v>85</v>
      </c>
      <c r="E604" s="30"/>
      <c r="F604" s="32">
        <v>2010</v>
      </c>
      <c r="G604" s="19" t="s">
        <v>4</v>
      </c>
      <c r="H604" s="33">
        <v>1143</v>
      </c>
      <c r="I604" s="37">
        <v>25</v>
      </c>
      <c r="J604" s="59">
        <v>857</v>
      </c>
      <c r="K604" s="44">
        <v>27.99</v>
      </c>
      <c r="L604" s="45" t="s">
        <v>272</v>
      </c>
      <c r="M604" s="19" t="s">
        <v>273</v>
      </c>
      <c r="N604" s="29"/>
      <c r="O604" s="18">
        <v>312</v>
      </c>
      <c r="P604" s="19" t="s">
        <v>1570</v>
      </c>
    </row>
    <row r="605" spans="1:16" s="4" customFormat="1" x14ac:dyDescent="0.25">
      <c r="A605" s="63" t="s">
        <v>1696</v>
      </c>
      <c r="B605" s="22">
        <v>9780230362871</v>
      </c>
      <c r="C605" s="23" t="s">
        <v>480</v>
      </c>
      <c r="D605" s="24" t="s">
        <v>85</v>
      </c>
      <c r="E605" s="23"/>
      <c r="F605" s="25">
        <v>2013</v>
      </c>
      <c r="G605" s="26" t="s">
        <v>1678</v>
      </c>
      <c r="H605" s="27">
        <v>1306</v>
      </c>
      <c r="I605" s="37">
        <v>20</v>
      </c>
      <c r="J605" s="59">
        <v>1045</v>
      </c>
      <c r="K605" s="42">
        <v>31.99</v>
      </c>
      <c r="L605" s="43" t="s">
        <v>272</v>
      </c>
      <c r="M605" s="26" t="s">
        <v>273</v>
      </c>
      <c r="N605" s="21" t="s">
        <v>1679</v>
      </c>
      <c r="O605" s="25">
        <v>360</v>
      </c>
      <c r="P605" s="28" t="s">
        <v>481</v>
      </c>
    </row>
    <row r="606" spans="1:16" s="4" customFormat="1" x14ac:dyDescent="0.25">
      <c r="A606" s="62" t="s">
        <v>1696</v>
      </c>
      <c r="B606" s="12">
        <v>9780333736548</v>
      </c>
      <c r="C606" s="13" t="s">
        <v>1210</v>
      </c>
      <c r="D606" s="14" t="str">
        <f>HYPERLINK("http://www.springer.com/gp/book/9780333736548","Japanese Foreign Policy")</f>
        <v>Japanese Foreign Policy</v>
      </c>
      <c r="E606" s="20" t="s">
        <v>1211</v>
      </c>
      <c r="F606" s="15" t="s">
        <v>1139</v>
      </c>
      <c r="G606" s="16" t="s">
        <v>1525</v>
      </c>
      <c r="H606" s="17">
        <v>5164</v>
      </c>
      <c r="I606" s="38">
        <v>30</v>
      </c>
      <c r="J606" s="59">
        <v>3615</v>
      </c>
      <c r="K606" s="40">
        <v>164.99</v>
      </c>
      <c r="L606" s="41" t="s">
        <v>275</v>
      </c>
      <c r="M606" s="26" t="s">
        <v>274</v>
      </c>
      <c r="N606" s="11"/>
      <c r="O606" s="15"/>
      <c r="P606" s="16"/>
    </row>
    <row r="607" spans="1:16" s="4" customFormat="1" x14ac:dyDescent="0.25">
      <c r="A607" s="62" t="s">
        <v>1696</v>
      </c>
      <c r="B607" s="12">
        <v>9780230115705</v>
      </c>
      <c r="C607" s="13" t="s">
        <v>980</v>
      </c>
      <c r="D607" s="14" t="str">
        <f>HYPERLINK("http://www.springer.com/gp/book/9780230115705","Knowledge Society vs. Knowledge Economy")</f>
        <v>Knowledge Society vs. Knowledge Economy</v>
      </c>
      <c r="E607" s="20" t="s">
        <v>981</v>
      </c>
      <c r="F607" s="15" t="s">
        <v>729</v>
      </c>
      <c r="G607" s="16" t="s">
        <v>1525</v>
      </c>
      <c r="H607" s="17">
        <v>961</v>
      </c>
      <c r="I607" s="38">
        <v>30</v>
      </c>
      <c r="J607" s="59">
        <v>673</v>
      </c>
      <c r="K607" s="40">
        <v>29.99</v>
      </c>
      <c r="L607" s="41" t="s">
        <v>275</v>
      </c>
      <c r="M607" s="19" t="s">
        <v>273</v>
      </c>
      <c r="N607" s="11"/>
      <c r="O607" s="15"/>
      <c r="P607" s="16"/>
    </row>
    <row r="608" spans="1:16" s="4" customFormat="1" x14ac:dyDescent="0.25">
      <c r="A608" s="62" t="s">
        <v>1696</v>
      </c>
      <c r="B608" s="12">
        <v>9780230271920</v>
      </c>
      <c r="C608" s="13" t="s">
        <v>1242</v>
      </c>
      <c r="D608" s="14" t="str">
        <f>HYPERLINK("http://www.springer.com/gp/book/9780230271920","Living Alone")</f>
        <v>Living Alone</v>
      </c>
      <c r="E608" s="20" t="s">
        <v>1243</v>
      </c>
      <c r="F608" s="15" t="s">
        <v>700</v>
      </c>
      <c r="G608" s="16" t="s">
        <v>1525</v>
      </c>
      <c r="H608" s="17">
        <v>2563</v>
      </c>
      <c r="I608" s="37">
        <v>20</v>
      </c>
      <c r="J608" s="59">
        <v>2050</v>
      </c>
      <c r="K608" s="40">
        <v>79.989999999999995</v>
      </c>
      <c r="L608" s="41" t="s">
        <v>275</v>
      </c>
      <c r="M608" s="26" t="s">
        <v>274</v>
      </c>
      <c r="N608" s="11"/>
      <c r="O608" s="15"/>
      <c r="P608" s="16"/>
    </row>
    <row r="609" spans="1:16" s="4" customFormat="1" x14ac:dyDescent="0.25">
      <c r="A609" s="62" t="s">
        <v>1696</v>
      </c>
      <c r="B609" s="12">
        <v>9780230368903</v>
      </c>
      <c r="C609" s="13" t="s">
        <v>1297</v>
      </c>
      <c r="D609" s="14" t="str">
        <f>HYPERLINK("http://www.springer.com/gp/book/9780230368903","Locating Urban Conflicts")</f>
        <v>Locating Urban Conflicts</v>
      </c>
      <c r="E609" s="20" t="s">
        <v>1298</v>
      </c>
      <c r="F609" s="15" t="s">
        <v>700</v>
      </c>
      <c r="G609" s="16" t="s">
        <v>1525</v>
      </c>
      <c r="H609" s="17">
        <v>2563</v>
      </c>
      <c r="I609" s="37">
        <v>20</v>
      </c>
      <c r="J609" s="59">
        <v>2050</v>
      </c>
      <c r="K609" s="40">
        <v>79.989999999999995</v>
      </c>
      <c r="L609" s="41" t="s">
        <v>275</v>
      </c>
      <c r="M609" s="26" t="s">
        <v>274</v>
      </c>
      <c r="N609" s="11"/>
      <c r="O609" s="15"/>
      <c r="P609" s="16"/>
    </row>
    <row r="610" spans="1:16" s="4" customFormat="1" x14ac:dyDescent="0.25">
      <c r="A610" s="62" t="s">
        <v>1696</v>
      </c>
      <c r="B610" s="12">
        <v>9780230104648</v>
      </c>
      <c r="C610" s="13" t="s">
        <v>1356</v>
      </c>
      <c r="D610" s="14" t="str">
        <f>HYPERLINK("http://www.springer.com/gp/book/9780230104648","Major Powers and the Quest for Status in International Politics")</f>
        <v>Major Powers and the Quest for Status in International Politics</v>
      </c>
      <c r="E610" s="20" t="s">
        <v>1357</v>
      </c>
      <c r="F610" s="15" t="s">
        <v>714</v>
      </c>
      <c r="G610" s="16" t="s">
        <v>1525</v>
      </c>
      <c r="H610" s="17">
        <v>2817</v>
      </c>
      <c r="I610" s="37">
        <v>25</v>
      </c>
      <c r="J610" s="59">
        <v>2113</v>
      </c>
      <c r="K610" s="40">
        <v>89.99</v>
      </c>
      <c r="L610" s="41" t="s">
        <v>275</v>
      </c>
      <c r="M610" s="26" t="s">
        <v>274</v>
      </c>
      <c r="N610" s="11"/>
      <c r="O610" s="15"/>
      <c r="P610" s="16"/>
    </row>
    <row r="611" spans="1:16" s="4" customFormat="1" x14ac:dyDescent="0.25">
      <c r="A611" s="62" t="s">
        <v>1696</v>
      </c>
      <c r="B611" s="12">
        <v>9780230280724</v>
      </c>
      <c r="C611" s="13" t="s">
        <v>982</v>
      </c>
      <c r="D611" s="14" t="str">
        <f>HYPERLINK("http://www.springer.com/gp/book/9780230280724","Making EU Foreign Policy")</f>
        <v>Making EU Foreign Policy</v>
      </c>
      <c r="E611" s="20" t="s">
        <v>1343</v>
      </c>
      <c r="F611" s="15" t="s">
        <v>714</v>
      </c>
      <c r="G611" s="16" t="s">
        <v>1525</v>
      </c>
      <c r="H611" s="17">
        <v>3130</v>
      </c>
      <c r="I611" s="37">
        <v>25</v>
      </c>
      <c r="J611" s="59">
        <v>2348</v>
      </c>
      <c r="K611" s="40">
        <v>99.99</v>
      </c>
      <c r="L611" s="41" t="s">
        <v>275</v>
      </c>
      <c r="M611" s="26" t="s">
        <v>274</v>
      </c>
      <c r="N611" s="11"/>
      <c r="O611" s="15"/>
      <c r="P611" s="16"/>
    </row>
    <row r="612" spans="1:16" s="4" customFormat="1" x14ac:dyDescent="0.25">
      <c r="A612" s="62" t="s">
        <v>1696</v>
      </c>
      <c r="B612" s="12">
        <v>9780230356153</v>
      </c>
      <c r="C612" s="13" t="s">
        <v>1354</v>
      </c>
      <c r="D612" s="14" t="str">
        <f>HYPERLINK("http://www.springer.com/gp/book/9780230356153","Mapping European Economic Integration")</f>
        <v>Mapping European Economic Integration</v>
      </c>
      <c r="E612" s="20"/>
      <c r="F612" s="15" t="s">
        <v>700</v>
      </c>
      <c r="G612" s="16" t="s">
        <v>1525</v>
      </c>
      <c r="H612" s="17">
        <v>3130</v>
      </c>
      <c r="I612" s="37">
        <v>20</v>
      </c>
      <c r="J612" s="59">
        <v>2504</v>
      </c>
      <c r="K612" s="40">
        <v>99.99</v>
      </c>
      <c r="L612" s="41" t="s">
        <v>275</v>
      </c>
      <c r="M612" s="26" t="s">
        <v>274</v>
      </c>
      <c r="N612" s="11"/>
      <c r="O612" s="15"/>
      <c r="P612" s="16"/>
    </row>
    <row r="613" spans="1:16" s="4" customFormat="1" x14ac:dyDescent="0.25">
      <c r="A613" s="62" t="s">
        <v>1696</v>
      </c>
      <c r="B613" s="12">
        <v>9780230581012</v>
      </c>
      <c r="C613" s="13" t="s">
        <v>1176</v>
      </c>
      <c r="D613" s="14" t="str">
        <f>HYPERLINK("http://www.springer.com/gp/book/9780230581012","Mapping Extreme Right Ideology")</f>
        <v>Mapping Extreme Right Ideology</v>
      </c>
      <c r="E613" s="20" t="s">
        <v>1177</v>
      </c>
      <c r="F613" s="15" t="s">
        <v>714</v>
      </c>
      <c r="G613" s="16" t="s">
        <v>1525</v>
      </c>
      <c r="H613" s="17">
        <v>3286</v>
      </c>
      <c r="I613" s="37">
        <v>25</v>
      </c>
      <c r="J613" s="59">
        <v>2465</v>
      </c>
      <c r="K613" s="40">
        <v>104.99</v>
      </c>
      <c r="L613" s="41" t="s">
        <v>275</v>
      </c>
      <c r="M613" s="26" t="s">
        <v>274</v>
      </c>
      <c r="N613" s="11"/>
      <c r="O613" s="15"/>
      <c r="P613" s="16"/>
    </row>
    <row r="614" spans="1:16" s="4" customFormat="1" x14ac:dyDescent="0.25">
      <c r="A614" s="62" t="s">
        <v>1696</v>
      </c>
      <c r="B614" s="12">
        <v>9780230522275</v>
      </c>
      <c r="C614" s="13" t="s">
        <v>1181</v>
      </c>
      <c r="D614" s="14" t="str">
        <f>HYPERLINK("http://www.springer.com/gp/book/9780230522275","Marketing the Populist Politician")</f>
        <v>Marketing the Populist Politician</v>
      </c>
      <c r="E614" s="20" t="s">
        <v>1182</v>
      </c>
      <c r="F614" s="15" t="s">
        <v>696</v>
      </c>
      <c r="G614" s="16" t="s">
        <v>1525</v>
      </c>
      <c r="H614" s="17">
        <v>3443</v>
      </c>
      <c r="I614" s="37">
        <v>25</v>
      </c>
      <c r="J614" s="59">
        <v>2582</v>
      </c>
      <c r="K614" s="40">
        <v>109.99</v>
      </c>
      <c r="L614" s="41" t="s">
        <v>275</v>
      </c>
      <c r="M614" s="26" t="s">
        <v>274</v>
      </c>
      <c r="N614" s="11"/>
      <c r="O614" s="15"/>
      <c r="P614" s="16"/>
    </row>
    <row r="615" spans="1:16" s="4" customFormat="1" x14ac:dyDescent="0.25">
      <c r="A615" s="62" t="s">
        <v>1696</v>
      </c>
      <c r="B615" s="12">
        <v>9781137425973</v>
      </c>
      <c r="C615" s="13" t="s">
        <v>818</v>
      </c>
      <c r="D615" s="14" t="str">
        <f>HYPERLINK("http://www.springer.com/gp/book/9781137425973","Mediatization of Politics")</f>
        <v>Mediatization of Politics</v>
      </c>
      <c r="E615" s="20" t="s">
        <v>819</v>
      </c>
      <c r="F615" s="15" t="s">
        <v>708</v>
      </c>
      <c r="G615" s="16" t="s">
        <v>1525</v>
      </c>
      <c r="H615" s="17">
        <v>961</v>
      </c>
      <c r="I615" s="37">
        <v>20</v>
      </c>
      <c r="J615" s="59">
        <v>769</v>
      </c>
      <c r="K615" s="40">
        <v>29.99</v>
      </c>
      <c r="L615" s="41" t="s">
        <v>275</v>
      </c>
      <c r="M615" s="19" t="s">
        <v>273</v>
      </c>
      <c r="N615" s="11"/>
      <c r="O615" s="15"/>
      <c r="P615" s="16"/>
    </row>
    <row r="616" spans="1:16" s="4" customFormat="1" x14ac:dyDescent="0.25">
      <c r="A616" s="62" t="s">
        <v>1696</v>
      </c>
      <c r="B616" s="12">
        <v>9780230302006</v>
      </c>
      <c r="C616" s="13" t="s">
        <v>208</v>
      </c>
      <c r="D616" s="14" t="str">
        <f>HYPERLINK("http://www.springer.com/gp/book/9780230302006","Memory and Political Change")</f>
        <v>Memory and Political Change</v>
      </c>
      <c r="E616" s="20"/>
      <c r="F616" s="15" t="s">
        <v>752</v>
      </c>
      <c r="G616" s="16" t="s">
        <v>1525</v>
      </c>
      <c r="H616" s="17">
        <v>961</v>
      </c>
      <c r="I616" s="37">
        <v>20</v>
      </c>
      <c r="J616" s="59">
        <v>769</v>
      </c>
      <c r="K616" s="40">
        <v>29.99</v>
      </c>
      <c r="L616" s="41" t="s">
        <v>275</v>
      </c>
      <c r="M616" s="19" t="s">
        <v>273</v>
      </c>
      <c r="N616" s="11"/>
      <c r="O616" s="15"/>
      <c r="P616" s="16"/>
    </row>
    <row r="617" spans="1:16" s="4" customFormat="1" x14ac:dyDescent="0.25">
      <c r="A617" s="62" t="s">
        <v>1696</v>
      </c>
      <c r="B617" s="12">
        <v>9780230337091</v>
      </c>
      <c r="C617" s="13" t="s">
        <v>1198</v>
      </c>
      <c r="D617" s="14" t="str">
        <f>HYPERLINK("http://www.springer.com/gp/book/9780230337091","Multi-Level Party Politics in Western Europe")</f>
        <v>Multi-Level Party Politics in Western Europe</v>
      </c>
      <c r="E617" s="20"/>
      <c r="F617" s="15" t="s">
        <v>752</v>
      </c>
      <c r="G617" s="16" t="s">
        <v>1525</v>
      </c>
      <c r="H617" s="17">
        <v>3286</v>
      </c>
      <c r="I617" s="37">
        <v>20</v>
      </c>
      <c r="J617" s="59">
        <v>2629</v>
      </c>
      <c r="K617" s="40">
        <v>104.99</v>
      </c>
      <c r="L617" s="41" t="s">
        <v>275</v>
      </c>
      <c r="M617" s="26" t="s">
        <v>274</v>
      </c>
      <c r="N617" s="11"/>
      <c r="O617" s="15"/>
      <c r="P617" s="16"/>
    </row>
    <row r="618" spans="1:16" s="4" customFormat="1" x14ac:dyDescent="0.25">
      <c r="A618" s="62" t="s">
        <v>1696</v>
      </c>
      <c r="B618" s="12">
        <v>9781137358622</v>
      </c>
      <c r="C618" s="13" t="s">
        <v>1218</v>
      </c>
      <c r="D618" s="14" t="str">
        <f>HYPERLINK("http://www.springer.com/gp/book/9781137358622","Myths, Politicians and Money")</f>
        <v>Myths, Politicians and Money</v>
      </c>
      <c r="E618" s="20" t="s">
        <v>1219</v>
      </c>
      <c r="F618" s="15" t="s">
        <v>700</v>
      </c>
      <c r="G618" s="16" t="s">
        <v>1525</v>
      </c>
      <c r="H618" s="17">
        <v>961</v>
      </c>
      <c r="I618" s="37">
        <v>20</v>
      </c>
      <c r="J618" s="59">
        <v>769</v>
      </c>
      <c r="K618" s="40">
        <v>29.99</v>
      </c>
      <c r="L618" s="41" t="s">
        <v>275</v>
      </c>
      <c r="M618" s="26" t="s">
        <v>274</v>
      </c>
      <c r="N618" s="11"/>
      <c r="O618" s="15"/>
      <c r="P618" s="16"/>
    </row>
    <row r="619" spans="1:16" s="4" customFormat="1" x14ac:dyDescent="0.25">
      <c r="A619" s="62" t="s">
        <v>1696</v>
      </c>
      <c r="B619" s="22">
        <v>9780230220836</v>
      </c>
      <c r="C619" s="23" t="s">
        <v>383</v>
      </c>
      <c r="D619" s="24" t="s">
        <v>382</v>
      </c>
      <c r="E619" s="23"/>
      <c r="F619" s="25">
        <v>2011</v>
      </c>
      <c r="G619" s="26" t="s">
        <v>1678</v>
      </c>
      <c r="H619" s="27">
        <v>1143</v>
      </c>
      <c r="I619" s="37">
        <v>25</v>
      </c>
      <c r="J619" s="59">
        <v>857</v>
      </c>
      <c r="K619" s="42">
        <v>27.99</v>
      </c>
      <c r="L619" s="43" t="s">
        <v>272</v>
      </c>
      <c r="M619" s="26" t="s">
        <v>273</v>
      </c>
      <c r="N619" s="21"/>
      <c r="O619" s="25">
        <v>224</v>
      </c>
      <c r="P619" s="28" t="s">
        <v>384</v>
      </c>
    </row>
    <row r="620" spans="1:16" s="4" customFormat="1" x14ac:dyDescent="0.25">
      <c r="A620" s="62" t="s">
        <v>1696</v>
      </c>
      <c r="B620" s="12">
        <v>9780230218604</v>
      </c>
      <c r="C620" s="13" t="s">
        <v>284</v>
      </c>
      <c r="D620" s="14" t="str">
        <f>HYPERLINK("http://www.springer.com/gp/book/9780230218604","Nations and their Histories")</f>
        <v>Nations and their Histories</v>
      </c>
      <c r="E620" s="20" t="s">
        <v>1185</v>
      </c>
      <c r="F620" s="15" t="s">
        <v>696</v>
      </c>
      <c r="G620" s="16" t="s">
        <v>1525</v>
      </c>
      <c r="H620" s="17">
        <v>3443</v>
      </c>
      <c r="I620" s="37">
        <v>25</v>
      </c>
      <c r="J620" s="59">
        <v>2582</v>
      </c>
      <c r="K620" s="40">
        <v>109.99</v>
      </c>
      <c r="L620" s="41" t="s">
        <v>275</v>
      </c>
      <c r="M620" s="26" t="s">
        <v>274</v>
      </c>
      <c r="N620" s="11"/>
      <c r="O620" s="15"/>
      <c r="P620" s="16"/>
    </row>
    <row r="621" spans="1:16" s="4" customFormat="1" x14ac:dyDescent="0.25">
      <c r="A621" s="62" t="s">
        <v>1696</v>
      </c>
      <c r="B621" s="12">
        <v>9780333689608</v>
      </c>
      <c r="C621" s="13" t="s">
        <v>1400</v>
      </c>
      <c r="D621" s="14" t="str">
        <f>HYPERLINK("http://www.springer.com/gp/book/9780333689608","Negotiating Citizenship")</f>
        <v>Negotiating Citizenship</v>
      </c>
      <c r="E621" s="20" t="s">
        <v>1401</v>
      </c>
      <c r="F621" s="15" t="s">
        <v>829</v>
      </c>
      <c r="G621" s="16" t="s">
        <v>1525</v>
      </c>
      <c r="H621" s="17">
        <v>3912</v>
      </c>
      <c r="I621" s="38">
        <v>30</v>
      </c>
      <c r="J621" s="59">
        <v>2738</v>
      </c>
      <c r="K621" s="40">
        <v>124.99</v>
      </c>
      <c r="L621" s="41" t="s">
        <v>275</v>
      </c>
      <c r="M621" s="26" t="s">
        <v>274</v>
      </c>
      <c r="N621" s="11"/>
      <c r="O621" s="15"/>
      <c r="P621" s="16"/>
    </row>
    <row r="622" spans="1:16" s="4" customFormat="1" x14ac:dyDescent="0.25">
      <c r="A622" s="62" t="s">
        <v>1696</v>
      </c>
      <c r="B622" s="22">
        <v>9780230228481</v>
      </c>
      <c r="C622" s="23" t="s">
        <v>222</v>
      </c>
      <c r="D622" s="24" t="s">
        <v>414</v>
      </c>
      <c r="E622" s="23"/>
      <c r="F622" s="25">
        <v>2010</v>
      </c>
      <c r="G622" s="26" t="s">
        <v>1678</v>
      </c>
      <c r="H622" s="27">
        <v>3062</v>
      </c>
      <c r="I622" s="37">
        <v>25</v>
      </c>
      <c r="J622" s="59">
        <v>2297</v>
      </c>
      <c r="K622" s="42">
        <v>75</v>
      </c>
      <c r="L622" s="43" t="s">
        <v>272</v>
      </c>
      <c r="M622" s="26" t="s">
        <v>274</v>
      </c>
      <c r="N622" s="21"/>
      <c r="O622" s="25">
        <v>304</v>
      </c>
      <c r="P622" s="28" t="s">
        <v>415</v>
      </c>
    </row>
    <row r="623" spans="1:16" s="4" customFormat="1" x14ac:dyDescent="0.25">
      <c r="A623" s="62" t="s">
        <v>1696</v>
      </c>
      <c r="B623" s="12">
        <v>9780230243408</v>
      </c>
      <c r="C623" s="13" t="s">
        <v>1233</v>
      </c>
      <c r="D623" s="14" t="str">
        <f>HYPERLINK("http://www.springer.com/gp/book/9780230243408","New Modes of Governance in Europe")</f>
        <v>New Modes of Governance in Europe</v>
      </c>
      <c r="E623" s="20" t="s">
        <v>1234</v>
      </c>
      <c r="F623" s="15" t="s">
        <v>714</v>
      </c>
      <c r="G623" s="16" t="s">
        <v>1525</v>
      </c>
      <c r="H623" s="17">
        <v>2817</v>
      </c>
      <c r="I623" s="37">
        <v>25</v>
      </c>
      <c r="J623" s="59">
        <v>2113</v>
      </c>
      <c r="K623" s="40">
        <v>89.99</v>
      </c>
      <c r="L623" s="41" t="s">
        <v>275</v>
      </c>
      <c r="M623" s="26" t="s">
        <v>274</v>
      </c>
      <c r="N623" s="11"/>
      <c r="O623" s="15"/>
      <c r="P623" s="16"/>
    </row>
    <row r="624" spans="1:16" s="4" customFormat="1" x14ac:dyDescent="0.25">
      <c r="A624" s="62" t="s">
        <v>1696</v>
      </c>
      <c r="B624" s="12">
        <v>9781137267153</v>
      </c>
      <c r="C624" s="13" t="s">
        <v>1259</v>
      </c>
      <c r="D624" s="14" t="str">
        <f>HYPERLINK("http://www.springer.com/gp/book/9781137267153","Non-Standard Employment in Europe")</f>
        <v>Non-Standard Employment in Europe</v>
      </c>
      <c r="E624" s="20" t="s">
        <v>1260</v>
      </c>
      <c r="F624" s="15" t="s">
        <v>700</v>
      </c>
      <c r="G624" s="16" t="s">
        <v>1525</v>
      </c>
      <c r="H624" s="17">
        <v>2563</v>
      </c>
      <c r="I624" s="37">
        <v>20</v>
      </c>
      <c r="J624" s="59">
        <v>2050</v>
      </c>
      <c r="K624" s="40">
        <v>79.989999999999995</v>
      </c>
      <c r="L624" s="41" t="s">
        <v>275</v>
      </c>
      <c r="M624" s="26" t="s">
        <v>274</v>
      </c>
      <c r="N624" s="11"/>
      <c r="O624" s="15"/>
      <c r="P624" s="16"/>
    </row>
    <row r="625" spans="1:16" s="4" customFormat="1" x14ac:dyDescent="0.25">
      <c r="A625" s="62" t="s">
        <v>1696</v>
      </c>
      <c r="B625" s="12">
        <v>9781137011831</v>
      </c>
      <c r="C625" s="13" t="s">
        <v>1348</v>
      </c>
      <c r="D625" s="14" t="str">
        <f>HYPERLINK("http://www.springer.com/gp/book/9781137011831","Organizational Innovation in Public Services")</f>
        <v>Organizational Innovation in Public Services</v>
      </c>
      <c r="E625" s="20" t="s">
        <v>1349</v>
      </c>
      <c r="F625" s="15" t="s">
        <v>700</v>
      </c>
      <c r="G625" s="16" t="s">
        <v>1525</v>
      </c>
      <c r="H625" s="17">
        <v>2660</v>
      </c>
      <c r="I625" s="37">
        <v>20</v>
      </c>
      <c r="J625" s="59">
        <v>2128</v>
      </c>
      <c r="K625" s="40">
        <v>84.99</v>
      </c>
      <c r="L625" s="41" t="s">
        <v>275</v>
      </c>
      <c r="M625" s="26" t="s">
        <v>274</v>
      </c>
      <c r="N625" s="11"/>
      <c r="O625" s="15"/>
      <c r="P625" s="16"/>
    </row>
    <row r="626" spans="1:16" s="4" customFormat="1" x14ac:dyDescent="0.25">
      <c r="A626" s="62" t="s">
        <v>1696</v>
      </c>
      <c r="B626" s="12">
        <v>9780230608429</v>
      </c>
      <c r="C626" s="13" t="s">
        <v>969</v>
      </c>
      <c r="D626" s="14" t="str">
        <f>HYPERLINK("http://www.springer.com/gp/book/9780230608429","Peace Education in Conflict and Post-Conflict Societies")</f>
        <v>Peace Education in Conflict and Post-Conflict Societies</v>
      </c>
      <c r="E626" s="20" t="s">
        <v>817</v>
      </c>
      <c r="F626" s="15" t="s">
        <v>696</v>
      </c>
      <c r="G626" s="16" t="s">
        <v>1525</v>
      </c>
      <c r="H626" s="17">
        <v>3130</v>
      </c>
      <c r="I626" s="37">
        <v>25</v>
      </c>
      <c r="J626" s="59">
        <v>2348</v>
      </c>
      <c r="K626" s="40">
        <v>99.99</v>
      </c>
      <c r="L626" s="41" t="s">
        <v>275</v>
      </c>
      <c r="M626" s="26" t="s">
        <v>274</v>
      </c>
      <c r="N626" s="11"/>
      <c r="O626" s="15"/>
      <c r="P626" s="16"/>
    </row>
    <row r="627" spans="1:16" s="4" customFormat="1" x14ac:dyDescent="0.25">
      <c r="A627" s="62" t="s">
        <v>1696</v>
      </c>
      <c r="B627" s="12">
        <v>9780230340282</v>
      </c>
      <c r="C627" s="13" t="s">
        <v>1178</v>
      </c>
      <c r="D627" s="14" t="str">
        <f>HYPERLINK("http://www.springer.com/gp/book/9780230340282","Players in the Public Policy Process")</f>
        <v>Players in the Public Policy Process</v>
      </c>
      <c r="E627" s="20" t="s">
        <v>1179</v>
      </c>
      <c r="F627" s="15" t="s">
        <v>752</v>
      </c>
      <c r="G627" s="16" t="s">
        <v>1525</v>
      </c>
      <c r="H627" s="17">
        <v>961</v>
      </c>
      <c r="I627" s="37">
        <v>20</v>
      </c>
      <c r="J627" s="59">
        <v>769</v>
      </c>
      <c r="K627" s="40">
        <v>29.99</v>
      </c>
      <c r="L627" s="41" t="s">
        <v>275</v>
      </c>
      <c r="M627" s="19" t="s">
        <v>273</v>
      </c>
      <c r="N627" s="11"/>
      <c r="O627" s="15"/>
      <c r="P627" s="16"/>
    </row>
    <row r="628" spans="1:16" s="4" customFormat="1" x14ac:dyDescent="0.25">
      <c r="A628" s="63" t="s">
        <v>1696</v>
      </c>
      <c r="B628" s="22">
        <v>9781403915146</v>
      </c>
      <c r="C628" s="23" t="s">
        <v>543</v>
      </c>
      <c r="D628" s="24" t="s">
        <v>108</v>
      </c>
      <c r="E628" s="23"/>
      <c r="F628" s="25">
        <v>2013</v>
      </c>
      <c r="G628" s="26" t="s">
        <v>1678</v>
      </c>
      <c r="H628" s="27">
        <v>1143</v>
      </c>
      <c r="I628" s="37">
        <v>20</v>
      </c>
      <c r="J628" s="59">
        <v>914</v>
      </c>
      <c r="K628" s="42">
        <v>27.99</v>
      </c>
      <c r="L628" s="43" t="s">
        <v>272</v>
      </c>
      <c r="M628" s="26" t="s">
        <v>273</v>
      </c>
      <c r="N628" s="21"/>
      <c r="O628" s="25">
        <v>376</v>
      </c>
      <c r="P628" s="28" t="s">
        <v>544</v>
      </c>
    </row>
    <row r="629" spans="1:16" s="4" customFormat="1" x14ac:dyDescent="0.25">
      <c r="A629" s="63" t="s">
        <v>1696</v>
      </c>
      <c r="B629" s="22">
        <v>9781137007186</v>
      </c>
      <c r="C629" s="23" t="s">
        <v>512</v>
      </c>
      <c r="D629" s="24" t="s">
        <v>511</v>
      </c>
      <c r="E629" s="23"/>
      <c r="F629" s="25">
        <v>2013</v>
      </c>
      <c r="G629" s="26" t="s">
        <v>1678</v>
      </c>
      <c r="H629" s="27">
        <v>1347</v>
      </c>
      <c r="I629" s="37">
        <v>20</v>
      </c>
      <c r="J629" s="59">
        <v>1078</v>
      </c>
      <c r="K629" s="42">
        <v>32.99</v>
      </c>
      <c r="L629" s="43" t="s">
        <v>272</v>
      </c>
      <c r="M629" s="26" t="s">
        <v>273</v>
      </c>
      <c r="N629" s="21" t="s">
        <v>1679</v>
      </c>
      <c r="O629" s="25">
        <v>472</v>
      </c>
      <c r="P629" s="28" t="s">
        <v>513</v>
      </c>
    </row>
    <row r="630" spans="1:16" s="4" customFormat="1" x14ac:dyDescent="0.25">
      <c r="A630" s="62" t="s">
        <v>1696</v>
      </c>
      <c r="B630" s="12">
        <v>9780230304895</v>
      </c>
      <c r="C630" s="13" t="s">
        <v>109</v>
      </c>
      <c r="D630" s="14" t="str">
        <f>HYPERLINK("http://www.springer.com/gp/book/9780230304895","Political Communication in Direct Democratic Campaigns")</f>
        <v>Political Communication in Direct Democratic Campaigns</v>
      </c>
      <c r="E630" s="20" t="s">
        <v>1262</v>
      </c>
      <c r="F630" s="15" t="s">
        <v>752</v>
      </c>
      <c r="G630" s="16" t="s">
        <v>1525</v>
      </c>
      <c r="H630" s="17">
        <v>3130</v>
      </c>
      <c r="I630" s="37">
        <v>20</v>
      </c>
      <c r="J630" s="59">
        <v>2504</v>
      </c>
      <c r="K630" s="40">
        <v>99.99</v>
      </c>
      <c r="L630" s="41" t="s">
        <v>275</v>
      </c>
      <c r="M630" s="26" t="s">
        <v>274</v>
      </c>
      <c r="N630" s="11"/>
      <c r="O630" s="15"/>
      <c r="P630" s="16"/>
    </row>
    <row r="631" spans="1:16" s="4" customFormat="1" x14ac:dyDescent="0.25">
      <c r="A631" s="62" t="s">
        <v>1696</v>
      </c>
      <c r="B631" s="22">
        <v>9780230576513</v>
      </c>
      <c r="C631" s="23" t="s">
        <v>442</v>
      </c>
      <c r="D631" s="24" t="s">
        <v>441</v>
      </c>
      <c r="E631" s="23"/>
      <c r="F631" s="25">
        <v>2010</v>
      </c>
      <c r="G631" s="26" t="s">
        <v>1678</v>
      </c>
      <c r="H631" s="27">
        <v>1224</v>
      </c>
      <c r="I631" s="37">
        <v>25</v>
      </c>
      <c r="J631" s="59">
        <v>918</v>
      </c>
      <c r="K631" s="42">
        <v>29.99</v>
      </c>
      <c r="L631" s="43" t="s">
        <v>272</v>
      </c>
      <c r="M631" s="26" t="s">
        <v>273</v>
      </c>
      <c r="N631" s="21" t="s">
        <v>1679</v>
      </c>
      <c r="O631" s="25">
        <v>256</v>
      </c>
      <c r="P631" s="28" t="s">
        <v>443</v>
      </c>
    </row>
    <row r="632" spans="1:16" s="4" customFormat="1" x14ac:dyDescent="0.25">
      <c r="A632" s="62" t="s">
        <v>1696</v>
      </c>
      <c r="B632" s="12">
        <v>9780230607552</v>
      </c>
      <c r="C632" s="13" t="s">
        <v>1226</v>
      </c>
      <c r="D632" s="14" t="str">
        <f>HYPERLINK("http://www.springer.com/gp/book/9780230607552","Political Parties and Legislative Party Switching")</f>
        <v>Political Parties and Legislative Party Switching</v>
      </c>
      <c r="E632" s="20"/>
      <c r="F632" s="15" t="s">
        <v>696</v>
      </c>
      <c r="G632" s="16" t="s">
        <v>1525</v>
      </c>
      <c r="H632" s="17">
        <v>3286</v>
      </c>
      <c r="I632" s="37">
        <v>25</v>
      </c>
      <c r="J632" s="59">
        <v>2465</v>
      </c>
      <c r="K632" s="40">
        <v>104.99</v>
      </c>
      <c r="L632" s="41" t="s">
        <v>275</v>
      </c>
      <c r="M632" s="26" t="s">
        <v>274</v>
      </c>
      <c r="N632" s="11"/>
      <c r="O632" s="15"/>
      <c r="P632" s="16"/>
    </row>
    <row r="633" spans="1:16" s="4" customFormat="1" x14ac:dyDescent="0.25">
      <c r="A633" s="62" t="s">
        <v>1696</v>
      </c>
      <c r="B633" s="12">
        <v>9781137331595</v>
      </c>
      <c r="C633" s="13" t="s">
        <v>1315</v>
      </c>
      <c r="D633" s="14" t="str">
        <f>HYPERLINK("http://www.springer.com/gp/book/9781137331595","Political Parties and the Concept of Power")</f>
        <v>Political Parties and the Concept of Power</v>
      </c>
      <c r="E633" s="20" t="s">
        <v>1316</v>
      </c>
      <c r="F633" s="15" t="s">
        <v>708</v>
      </c>
      <c r="G633" s="16" t="s">
        <v>1525</v>
      </c>
      <c r="H633" s="17">
        <v>3130</v>
      </c>
      <c r="I633" s="37">
        <v>20</v>
      </c>
      <c r="J633" s="59">
        <v>2504</v>
      </c>
      <c r="K633" s="40">
        <v>99.99</v>
      </c>
      <c r="L633" s="41" t="s">
        <v>275</v>
      </c>
      <c r="M633" s="26" t="s">
        <v>274</v>
      </c>
      <c r="N633" s="11"/>
      <c r="O633" s="15"/>
      <c r="P633" s="16"/>
    </row>
    <row r="634" spans="1:16" s="4" customFormat="1" x14ac:dyDescent="0.25">
      <c r="A634" s="62" t="s">
        <v>1696</v>
      </c>
      <c r="B634" s="12">
        <v>9780230367753</v>
      </c>
      <c r="C634" s="13" t="s">
        <v>1176</v>
      </c>
      <c r="D634" s="14" t="str">
        <f>HYPERLINK("http://www.springer.com/gp/book/9780230367753","Political Science Research Methods in Action")</f>
        <v>Political Science Research Methods in Action</v>
      </c>
      <c r="E634" s="20"/>
      <c r="F634" s="15" t="s">
        <v>700</v>
      </c>
      <c r="G634" s="16" t="s">
        <v>1525</v>
      </c>
      <c r="H634" s="17">
        <v>2660</v>
      </c>
      <c r="I634" s="37">
        <v>20</v>
      </c>
      <c r="J634" s="59">
        <v>2128</v>
      </c>
      <c r="K634" s="40">
        <v>84.99</v>
      </c>
      <c r="L634" s="41" t="s">
        <v>275</v>
      </c>
      <c r="M634" s="26" t="s">
        <v>274</v>
      </c>
      <c r="N634" s="11"/>
      <c r="O634" s="15"/>
      <c r="P634" s="16"/>
    </row>
    <row r="635" spans="1:16" s="4" customFormat="1" x14ac:dyDescent="0.25">
      <c r="A635" s="63" t="s">
        <v>1696</v>
      </c>
      <c r="B635" s="22">
        <v>9780333968895</v>
      </c>
      <c r="C635" s="23" t="s">
        <v>376</v>
      </c>
      <c r="D635" s="24" t="s">
        <v>375</v>
      </c>
      <c r="E635" s="23"/>
      <c r="F635" s="25">
        <v>2009</v>
      </c>
      <c r="G635" s="26" t="s">
        <v>1678</v>
      </c>
      <c r="H635" s="27">
        <v>1224</v>
      </c>
      <c r="I635" s="37">
        <v>25</v>
      </c>
      <c r="J635" s="59">
        <v>918</v>
      </c>
      <c r="K635" s="42">
        <v>29.99</v>
      </c>
      <c r="L635" s="43" t="s">
        <v>272</v>
      </c>
      <c r="M635" s="26" t="s">
        <v>273</v>
      </c>
      <c r="N635" s="21"/>
      <c r="O635" s="25">
        <v>256</v>
      </c>
      <c r="P635" s="28" t="s">
        <v>377</v>
      </c>
    </row>
    <row r="636" spans="1:16" s="4" customFormat="1" x14ac:dyDescent="0.25">
      <c r="A636" s="62" t="s">
        <v>1696</v>
      </c>
      <c r="B636" s="12">
        <v>9780230363618</v>
      </c>
      <c r="C636" s="13" t="s">
        <v>1220</v>
      </c>
      <c r="D636" s="14" t="str">
        <f>HYPERLINK("http://www.springer.com/gp/book/9780230363618","Prime Ministers and Rhetorical Governance")</f>
        <v>Prime Ministers and Rhetorical Governance</v>
      </c>
      <c r="E636" s="20"/>
      <c r="F636" s="15" t="s">
        <v>700</v>
      </c>
      <c r="G636" s="16" t="s">
        <v>1525</v>
      </c>
      <c r="H636" s="17">
        <v>2563</v>
      </c>
      <c r="I636" s="37">
        <v>20</v>
      </c>
      <c r="J636" s="59">
        <v>2050</v>
      </c>
      <c r="K636" s="40">
        <v>79.989999999999995</v>
      </c>
      <c r="L636" s="41" t="s">
        <v>275</v>
      </c>
      <c r="M636" s="26" t="s">
        <v>274</v>
      </c>
      <c r="N636" s="11"/>
      <c r="O636" s="15"/>
      <c r="P636" s="16"/>
    </row>
    <row r="637" spans="1:16" s="4" customFormat="1" x14ac:dyDescent="0.25">
      <c r="A637" s="62" t="s">
        <v>1696</v>
      </c>
      <c r="B637" s="12">
        <v>9781403975263</v>
      </c>
      <c r="C637" s="13" t="s">
        <v>1308</v>
      </c>
      <c r="D637" s="14" t="str">
        <f>HYPERLINK("http://www.springer.com/gp/book/9781403975263","Public Opinion, Party Competition, and the European Union in Post-Communist Europe")</f>
        <v>Public Opinion, Party Competition, and the European Union in Post-Communist Europe</v>
      </c>
      <c r="E637" s="20"/>
      <c r="F637" s="15" t="s">
        <v>917</v>
      </c>
      <c r="G637" s="16" t="s">
        <v>1525</v>
      </c>
      <c r="H637" s="17">
        <v>2817</v>
      </c>
      <c r="I637" s="38">
        <v>30</v>
      </c>
      <c r="J637" s="59">
        <v>1972</v>
      </c>
      <c r="K637" s="40">
        <v>89.99</v>
      </c>
      <c r="L637" s="41" t="s">
        <v>275</v>
      </c>
      <c r="M637" s="26" t="s">
        <v>274</v>
      </c>
      <c r="N637" s="11"/>
      <c r="O637" s="15"/>
      <c r="P637" s="16"/>
    </row>
    <row r="638" spans="1:16" s="4" customFormat="1" x14ac:dyDescent="0.25">
      <c r="A638" s="62" t="s">
        <v>1696</v>
      </c>
      <c r="B638" s="22">
        <v>9780230249042</v>
      </c>
      <c r="C638" s="23" t="s">
        <v>485</v>
      </c>
      <c r="D638" s="24" t="s">
        <v>484</v>
      </c>
      <c r="E638" s="23"/>
      <c r="F638" s="25">
        <v>2010</v>
      </c>
      <c r="G638" s="26" t="s">
        <v>1678</v>
      </c>
      <c r="H638" s="27">
        <v>1306</v>
      </c>
      <c r="I638" s="37">
        <v>25</v>
      </c>
      <c r="J638" s="59">
        <v>980</v>
      </c>
      <c r="K638" s="42">
        <v>31.99</v>
      </c>
      <c r="L638" s="43" t="s">
        <v>272</v>
      </c>
      <c r="M638" s="26" t="s">
        <v>273</v>
      </c>
      <c r="N638" s="21"/>
      <c r="O638" s="25">
        <v>336</v>
      </c>
      <c r="P638" s="28" t="s">
        <v>486</v>
      </c>
    </row>
    <row r="639" spans="1:16" s="4" customFormat="1" x14ac:dyDescent="0.25">
      <c r="A639" s="62" t="s">
        <v>1696</v>
      </c>
      <c r="B639" s="12">
        <v>9781137282804</v>
      </c>
      <c r="C639" s="13" t="s">
        <v>1350</v>
      </c>
      <c r="D639" s="14" t="str">
        <f>HYPERLINK("http://www.springer.com/gp/book/9781137282804","Putinism")</f>
        <v>Putinism</v>
      </c>
      <c r="E639" s="20" t="s">
        <v>1351</v>
      </c>
      <c r="F639" s="15" t="s">
        <v>700</v>
      </c>
      <c r="G639" s="16" t="s">
        <v>1525</v>
      </c>
      <c r="H639" s="17">
        <v>2817</v>
      </c>
      <c r="I639" s="37">
        <v>20</v>
      </c>
      <c r="J639" s="59">
        <v>2254</v>
      </c>
      <c r="K639" s="40">
        <v>89.99</v>
      </c>
      <c r="L639" s="41" t="s">
        <v>275</v>
      </c>
      <c r="M639" s="26" t="s">
        <v>274</v>
      </c>
      <c r="N639" s="11"/>
      <c r="O639" s="15"/>
      <c r="P639" s="16"/>
    </row>
    <row r="640" spans="1:16" s="4" customFormat="1" x14ac:dyDescent="0.25">
      <c r="A640" s="62" t="s">
        <v>1696</v>
      </c>
      <c r="B640" s="12">
        <v>9780230339439</v>
      </c>
      <c r="C640" s="13" t="s">
        <v>1321</v>
      </c>
      <c r="D640" s="14" t="str">
        <f>HYPERLINK("http://www.springer.com/gp/book/9780230339439","Real-Time Diplomacy")</f>
        <v>Real-Time Diplomacy</v>
      </c>
      <c r="E640" s="20" t="s">
        <v>1323</v>
      </c>
      <c r="F640" s="15" t="s">
        <v>752</v>
      </c>
      <c r="G640" s="16" t="s">
        <v>1525</v>
      </c>
      <c r="H640" s="17">
        <v>865</v>
      </c>
      <c r="I640" s="37">
        <v>20</v>
      </c>
      <c r="J640" s="59">
        <v>692</v>
      </c>
      <c r="K640" s="40">
        <v>26.99</v>
      </c>
      <c r="L640" s="41" t="s">
        <v>275</v>
      </c>
      <c r="M640" s="19" t="s">
        <v>273</v>
      </c>
      <c r="N640" s="11"/>
      <c r="O640" s="15"/>
      <c r="P640" s="16"/>
    </row>
    <row r="641" spans="1:16" s="4" customFormat="1" x14ac:dyDescent="0.25">
      <c r="A641" s="62" t="s">
        <v>1696</v>
      </c>
      <c r="B641" s="12">
        <v>9780230202535</v>
      </c>
      <c r="C641" s="13" t="s">
        <v>249</v>
      </c>
      <c r="D641" s="14" t="str">
        <f>HYPERLINK("http://www.springer.com/gp/book/9780230202535","Reflections on European Integration")</f>
        <v>Reflections on European Integration</v>
      </c>
      <c r="E641" s="20" t="s">
        <v>1295</v>
      </c>
      <c r="F641" s="15" t="s">
        <v>696</v>
      </c>
      <c r="G641" s="16" t="s">
        <v>1525</v>
      </c>
      <c r="H641" s="17">
        <v>3130</v>
      </c>
      <c r="I641" s="37">
        <v>25</v>
      </c>
      <c r="J641" s="59">
        <v>2348</v>
      </c>
      <c r="K641" s="40">
        <v>99.99</v>
      </c>
      <c r="L641" s="41" t="s">
        <v>275</v>
      </c>
      <c r="M641" s="26" t="s">
        <v>274</v>
      </c>
      <c r="N641" s="11"/>
      <c r="O641" s="15"/>
      <c r="P641" s="16"/>
    </row>
    <row r="642" spans="1:16" s="4" customFormat="1" x14ac:dyDescent="0.25">
      <c r="A642" s="62" t="s">
        <v>1696</v>
      </c>
      <c r="B642" s="12">
        <v>9780230252578</v>
      </c>
      <c r="C642" s="13" t="s">
        <v>1320</v>
      </c>
      <c r="D642" s="14" t="str">
        <f>HYPERLINK("http://www.springer.com/gp/book/9780230252578","Reforming the European Commission")</f>
        <v>Reforming the European Commission</v>
      </c>
      <c r="E642" s="20"/>
      <c r="F642" s="15" t="s">
        <v>714</v>
      </c>
      <c r="G642" s="16" t="s">
        <v>1525</v>
      </c>
      <c r="H642" s="17">
        <v>3130</v>
      </c>
      <c r="I642" s="37">
        <v>25</v>
      </c>
      <c r="J642" s="59">
        <v>2348</v>
      </c>
      <c r="K642" s="40">
        <v>99.99</v>
      </c>
      <c r="L642" s="41" t="s">
        <v>275</v>
      </c>
      <c r="M642" s="26" t="s">
        <v>274</v>
      </c>
      <c r="N642" s="11"/>
      <c r="O642" s="15"/>
      <c r="P642" s="16"/>
    </row>
    <row r="643" spans="1:16" s="4" customFormat="1" x14ac:dyDescent="0.25">
      <c r="A643" s="62" t="s">
        <v>1696</v>
      </c>
      <c r="B643" s="12">
        <v>9780230220553</v>
      </c>
      <c r="C643" s="13" t="s">
        <v>1312</v>
      </c>
      <c r="D643" s="14" t="str">
        <f>HYPERLINK("http://www.springer.com/gp/book/9780230220553","Regional Representations in the EU: Between Diplomacy and Interest Mediation")</f>
        <v>Regional Representations in the EU: Between Diplomacy and Interest Mediation</v>
      </c>
      <c r="E643" s="20"/>
      <c r="F643" s="15" t="s">
        <v>714</v>
      </c>
      <c r="G643" s="16" t="s">
        <v>1525</v>
      </c>
      <c r="H643" s="17">
        <v>3286</v>
      </c>
      <c r="I643" s="37">
        <v>25</v>
      </c>
      <c r="J643" s="59">
        <v>2465</v>
      </c>
      <c r="K643" s="40">
        <v>104.99</v>
      </c>
      <c r="L643" s="41" t="s">
        <v>275</v>
      </c>
      <c r="M643" s="26" t="s">
        <v>274</v>
      </c>
      <c r="N643" s="11"/>
      <c r="O643" s="15"/>
      <c r="P643" s="16"/>
    </row>
    <row r="644" spans="1:16" s="4" customFormat="1" x14ac:dyDescent="0.25">
      <c r="A644" s="62" t="s">
        <v>1696</v>
      </c>
      <c r="B644" s="12">
        <v>9780230550766</v>
      </c>
      <c r="C644" s="13" t="s">
        <v>1169</v>
      </c>
      <c r="D644" s="14" t="str">
        <f>HYPERLINK("http://www.springer.com/gp/book/9780230550766","Religion and the Conceptual Boundary in Central and Eastern Europe")</f>
        <v>Religion and the Conceptual Boundary in Central and Eastern Europe</v>
      </c>
      <c r="E644" s="20" t="s">
        <v>1170</v>
      </c>
      <c r="F644" s="15" t="s">
        <v>705</v>
      </c>
      <c r="G644" s="16" t="s">
        <v>1525</v>
      </c>
      <c r="H644" s="17">
        <v>3443</v>
      </c>
      <c r="I644" s="37">
        <v>25</v>
      </c>
      <c r="J644" s="59">
        <v>2582</v>
      </c>
      <c r="K644" s="40">
        <v>109.99</v>
      </c>
      <c r="L644" s="41" t="s">
        <v>275</v>
      </c>
      <c r="M644" s="26" t="s">
        <v>274</v>
      </c>
      <c r="N644" s="11"/>
      <c r="O644" s="15"/>
      <c r="P644" s="16"/>
    </row>
    <row r="645" spans="1:16" s="4" customFormat="1" x14ac:dyDescent="0.25">
      <c r="A645" s="63" t="s">
        <v>1696</v>
      </c>
      <c r="B645" s="22">
        <v>9780230217799</v>
      </c>
      <c r="C645" s="23" t="s">
        <v>450</v>
      </c>
      <c r="D645" s="24" t="s">
        <v>226</v>
      </c>
      <c r="E645" s="23"/>
      <c r="F645" s="25">
        <v>2011</v>
      </c>
      <c r="G645" s="26" t="s">
        <v>1678</v>
      </c>
      <c r="H645" s="27">
        <v>1183</v>
      </c>
      <c r="I645" s="37">
        <v>25</v>
      </c>
      <c r="J645" s="59">
        <v>887</v>
      </c>
      <c r="K645" s="42">
        <v>28.99</v>
      </c>
      <c r="L645" s="43" t="s">
        <v>272</v>
      </c>
      <c r="M645" s="26" t="s">
        <v>273</v>
      </c>
      <c r="N645" s="21"/>
      <c r="O645" s="25">
        <v>240</v>
      </c>
      <c r="P645" s="28" t="s">
        <v>451</v>
      </c>
    </row>
    <row r="646" spans="1:16" s="4" customFormat="1" x14ac:dyDescent="0.25">
      <c r="A646" s="62" t="s">
        <v>1696</v>
      </c>
      <c r="B646" s="12">
        <v>9780230228849</v>
      </c>
      <c r="C646" s="13" t="s">
        <v>1313</v>
      </c>
      <c r="D646" s="14" t="str">
        <f>HYPERLINK("http://www.springer.com/gp/book/9780230228849","Russian Bureaucracy and the State")</f>
        <v>Russian Bureaucracy and the State</v>
      </c>
      <c r="E646" s="20" t="s">
        <v>1314</v>
      </c>
      <c r="F646" s="15" t="s">
        <v>696</v>
      </c>
      <c r="G646" s="16" t="s">
        <v>1525</v>
      </c>
      <c r="H646" s="17">
        <v>3756</v>
      </c>
      <c r="I646" s="37">
        <v>25</v>
      </c>
      <c r="J646" s="59">
        <v>2817</v>
      </c>
      <c r="K646" s="40">
        <v>119.99</v>
      </c>
      <c r="L646" s="41" t="s">
        <v>275</v>
      </c>
      <c r="M646" s="26" t="s">
        <v>274</v>
      </c>
      <c r="N646" s="11"/>
      <c r="O646" s="15"/>
      <c r="P646" s="16"/>
    </row>
    <row r="647" spans="1:16" s="4" customFormat="1" x14ac:dyDescent="0.25">
      <c r="A647" s="62" t="s">
        <v>1696</v>
      </c>
      <c r="B647" s="12">
        <v>9780230367777</v>
      </c>
      <c r="C647" s="13" t="s">
        <v>283</v>
      </c>
      <c r="D647" s="14" t="str">
        <f>HYPERLINK("http://www.springer.com/gp/book/9780230367777","Secrets and Democracy")</f>
        <v>Secrets and Democracy</v>
      </c>
      <c r="E647" s="20" t="s">
        <v>1299</v>
      </c>
      <c r="F647" s="15" t="s">
        <v>708</v>
      </c>
      <c r="G647" s="16" t="s">
        <v>1525</v>
      </c>
      <c r="H647" s="17">
        <v>2723</v>
      </c>
      <c r="I647" s="37">
        <v>20</v>
      </c>
      <c r="J647" s="59">
        <v>2178</v>
      </c>
      <c r="K647" s="40">
        <v>86.99</v>
      </c>
      <c r="L647" s="41" t="s">
        <v>275</v>
      </c>
      <c r="M647" s="26" t="s">
        <v>274</v>
      </c>
      <c r="N647" s="11"/>
      <c r="O647" s="15"/>
      <c r="P647" s="16"/>
    </row>
    <row r="648" spans="1:16" s="4" customFormat="1" x14ac:dyDescent="0.25">
      <c r="A648" s="62" t="s">
        <v>1696</v>
      </c>
      <c r="B648" s="12">
        <v>9780230579897</v>
      </c>
      <c r="C648" s="13" t="s">
        <v>1358</v>
      </c>
      <c r="D648" s="14" t="str">
        <f>HYPERLINK("http://www.springer.com/gp/book/9780230579897","Securing Europe")</f>
        <v>Securing Europe</v>
      </c>
      <c r="E648" s="20" t="s">
        <v>1359</v>
      </c>
      <c r="F648" s="15" t="s">
        <v>688</v>
      </c>
      <c r="G648" s="16" t="s">
        <v>1525</v>
      </c>
      <c r="H648" s="17">
        <v>3130</v>
      </c>
      <c r="I648" s="37">
        <v>25</v>
      </c>
      <c r="J648" s="59">
        <v>2348</v>
      </c>
      <c r="K648" s="40">
        <v>99.99</v>
      </c>
      <c r="L648" s="41" t="s">
        <v>275</v>
      </c>
      <c r="M648" s="26" t="s">
        <v>274</v>
      </c>
      <c r="N648" s="11"/>
      <c r="O648" s="15"/>
      <c r="P648" s="16"/>
    </row>
    <row r="649" spans="1:16" s="4" customFormat="1" x14ac:dyDescent="0.25">
      <c r="A649" s="62" t="s">
        <v>1696</v>
      </c>
      <c r="B649" s="22">
        <v>9780230362352</v>
      </c>
      <c r="C649" s="23" t="s">
        <v>119</v>
      </c>
      <c r="D649" s="24" t="s">
        <v>120</v>
      </c>
      <c r="E649" s="23"/>
      <c r="F649" s="25">
        <v>2014</v>
      </c>
      <c r="G649" s="26" t="s">
        <v>1678</v>
      </c>
      <c r="H649" s="27">
        <v>1224</v>
      </c>
      <c r="I649" s="37">
        <v>20</v>
      </c>
      <c r="J649" s="59">
        <v>979</v>
      </c>
      <c r="K649" s="42">
        <v>29.99</v>
      </c>
      <c r="L649" s="43" t="s">
        <v>272</v>
      </c>
      <c r="M649" s="26" t="s">
        <v>273</v>
      </c>
      <c r="N649" s="21" t="s">
        <v>1679</v>
      </c>
      <c r="O649" s="25">
        <v>320</v>
      </c>
      <c r="P649" s="28" t="s">
        <v>545</v>
      </c>
    </row>
    <row r="650" spans="1:16" s="4" customFormat="1" x14ac:dyDescent="0.25">
      <c r="A650" s="62" t="s">
        <v>1696</v>
      </c>
      <c r="B650" s="12">
        <v>9780230608962</v>
      </c>
      <c r="C650" s="13" t="s">
        <v>1264</v>
      </c>
      <c r="D650" s="14" t="str">
        <f>HYPERLINK("http://www.springer.com/gp/book/9780230608962","Separatism and Sovereignty in the New Europe")</f>
        <v>Separatism and Sovereignty in the New Europe</v>
      </c>
      <c r="E650" s="20" t="s">
        <v>1265</v>
      </c>
      <c r="F650" s="15" t="s">
        <v>705</v>
      </c>
      <c r="G650" s="16" t="s">
        <v>1525</v>
      </c>
      <c r="H650" s="17">
        <v>3130</v>
      </c>
      <c r="I650" s="37">
        <v>25</v>
      </c>
      <c r="J650" s="59">
        <v>2348</v>
      </c>
      <c r="K650" s="40">
        <v>99.99</v>
      </c>
      <c r="L650" s="41" t="s">
        <v>275</v>
      </c>
      <c r="M650" s="26" t="s">
        <v>274</v>
      </c>
      <c r="N650" s="11"/>
      <c r="O650" s="15"/>
      <c r="P650" s="16"/>
    </row>
    <row r="651" spans="1:16" s="4" customFormat="1" x14ac:dyDescent="0.25">
      <c r="A651" s="62" t="s">
        <v>1696</v>
      </c>
      <c r="B651" s="12">
        <v>9781137475251</v>
      </c>
      <c r="C651" s="13" t="s">
        <v>1163</v>
      </c>
      <c r="D651" s="14" t="str">
        <f>HYPERLINK("http://www.springer.com/gp/book/9781137475251","Sexuality and Globalization")</f>
        <v>Sexuality and Globalization</v>
      </c>
      <c r="E651" s="20" t="s">
        <v>1164</v>
      </c>
      <c r="F651" s="15" t="s">
        <v>708</v>
      </c>
      <c r="G651" s="16" t="s">
        <v>1525</v>
      </c>
      <c r="H651" s="17">
        <v>2083</v>
      </c>
      <c r="I651" s="37">
        <v>20</v>
      </c>
      <c r="J651" s="59">
        <v>1666</v>
      </c>
      <c r="K651" s="40">
        <v>64.989999999999995</v>
      </c>
      <c r="L651" s="41" t="s">
        <v>275</v>
      </c>
      <c r="M651" s="26" t="s">
        <v>274</v>
      </c>
      <c r="N651" s="11"/>
      <c r="O651" s="15"/>
      <c r="P651" s="16"/>
    </row>
    <row r="652" spans="1:16" s="4" customFormat="1" x14ac:dyDescent="0.25">
      <c r="A652" s="62" t="s">
        <v>1696</v>
      </c>
      <c r="B652" s="12">
        <v>9780230522145</v>
      </c>
      <c r="C652" s="13" t="s">
        <v>127</v>
      </c>
      <c r="D652" s="14" t="str">
        <f>HYPERLINK("http://www.springer.com/gp/book/9780230522145","State and Society in Post-Socialist Economies")</f>
        <v>State and Society in Post-Socialist Economies</v>
      </c>
      <c r="E652" s="20"/>
      <c r="F652" s="15" t="s">
        <v>705</v>
      </c>
      <c r="G652" s="16" t="s">
        <v>1525</v>
      </c>
      <c r="H652" s="17">
        <v>3756</v>
      </c>
      <c r="I652" s="37">
        <v>25</v>
      </c>
      <c r="J652" s="59">
        <v>2817</v>
      </c>
      <c r="K652" s="40">
        <v>119.99</v>
      </c>
      <c r="L652" s="41" t="s">
        <v>275</v>
      </c>
      <c r="M652" s="26" t="s">
        <v>274</v>
      </c>
      <c r="N652" s="11"/>
      <c r="O652" s="15"/>
      <c r="P652" s="16"/>
    </row>
    <row r="653" spans="1:16" s="4" customFormat="1" x14ac:dyDescent="0.25">
      <c r="A653" s="62" t="s">
        <v>1696</v>
      </c>
      <c r="B653" s="12">
        <v>9780230019706</v>
      </c>
      <c r="C653" s="13" t="s">
        <v>1302</v>
      </c>
      <c r="D653" s="14" t="str">
        <f>HYPERLINK("http://www.springer.com/gp/book/9780230019706","Technology and Security")</f>
        <v>Technology and Security</v>
      </c>
      <c r="E653" s="20" t="s">
        <v>1303</v>
      </c>
      <c r="F653" s="15" t="s">
        <v>729</v>
      </c>
      <c r="G653" s="16" t="s">
        <v>1525</v>
      </c>
      <c r="H653" s="17">
        <v>3130</v>
      </c>
      <c r="I653" s="38">
        <v>30</v>
      </c>
      <c r="J653" s="59">
        <v>2191</v>
      </c>
      <c r="K653" s="40">
        <v>99.99</v>
      </c>
      <c r="L653" s="41" t="s">
        <v>275</v>
      </c>
      <c r="M653" s="26" t="s">
        <v>274</v>
      </c>
      <c r="N653" s="11"/>
      <c r="O653" s="15"/>
      <c r="P653" s="16"/>
    </row>
    <row r="654" spans="1:16" s="4" customFormat="1" x14ac:dyDescent="0.25">
      <c r="A654" s="62" t="s">
        <v>1696</v>
      </c>
      <c r="B654" s="12">
        <v>9780230613577</v>
      </c>
      <c r="C654" s="13" t="s">
        <v>254</v>
      </c>
      <c r="D654" s="14" t="str">
        <f>HYPERLINK("http://www.springer.com/gp/book/9780230613577","Terrorism, Elections, and Democracy")</f>
        <v>Terrorism, Elections, and Democracy</v>
      </c>
      <c r="E654" s="20" t="s">
        <v>1292</v>
      </c>
      <c r="F654" s="15" t="s">
        <v>688</v>
      </c>
      <c r="G654" s="16" t="s">
        <v>1525</v>
      </c>
      <c r="H654" s="17">
        <v>2817</v>
      </c>
      <c r="I654" s="37">
        <v>25</v>
      </c>
      <c r="J654" s="59">
        <v>2113</v>
      </c>
      <c r="K654" s="40">
        <v>89.99</v>
      </c>
      <c r="L654" s="41" t="s">
        <v>275</v>
      </c>
      <c r="M654" s="26" t="s">
        <v>274</v>
      </c>
      <c r="N654" s="11"/>
      <c r="O654" s="15"/>
      <c r="P654" s="16"/>
    </row>
    <row r="655" spans="1:16" s="4" customFormat="1" x14ac:dyDescent="0.25">
      <c r="A655" s="62" t="s">
        <v>1696</v>
      </c>
      <c r="B655" s="22">
        <v>9780230221178</v>
      </c>
      <c r="C655" s="23" t="s">
        <v>538</v>
      </c>
      <c r="D655" s="24" t="s">
        <v>136</v>
      </c>
      <c r="E655" s="23"/>
      <c r="F655" s="25">
        <v>2011</v>
      </c>
      <c r="G655" s="26" t="s">
        <v>1678</v>
      </c>
      <c r="H655" s="27">
        <v>3062</v>
      </c>
      <c r="I655" s="37">
        <v>25</v>
      </c>
      <c r="J655" s="59">
        <v>2297</v>
      </c>
      <c r="K655" s="42">
        <v>75</v>
      </c>
      <c r="L655" s="43" t="s">
        <v>272</v>
      </c>
      <c r="M655" s="26" t="s">
        <v>274</v>
      </c>
      <c r="N655" s="21"/>
      <c r="O655" s="25">
        <v>352</v>
      </c>
      <c r="P655" s="28" t="s">
        <v>539</v>
      </c>
    </row>
    <row r="656" spans="1:16" s="4" customFormat="1" x14ac:dyDescent="0.25">
      <c r="A656" s="62" t="s">
        <v>1696</v>
      </c>
      <c r="B656" s="12">
        <v>9780230111882</v>
      </c>
      <c r="C656" s="13" t="s">
        <v>1355</v>
      </c>
      <c r="D656" s="14" t="str">
        <f>HYPERLINK("http://www.springer.com/gp/book/9780230111882","Terrorist Financing and Resourcing")</f>
        <v>Terrorist Financing and Resourcing</v>
      </c>
      <c r="E656" s="20"/>
      <c r="F656" s="15" t="s">
        <v>714</v>
      </c>
      <c r="G656" s="16" t="s">
        <v>1525</v>
      </c>
      <c r="H656" s="17">
        <v>3130</v>
      </c>
      <c r="I656" s="37">
        <v>25</v>
      </c>
      <c r="J656" s="59">
        <v>2348</v>
      </c>
      <c r="K656" s="40">
        <v>99.99</v>
      </c>
      <c r="L656" s="41" t="s">
        <v>275</v>
      </c>
      <c r="M656" s="26" t="s">
        <v>274</v>
      </c>
      <c r="N656" s="11"/>
      <c r="O656" s="15"/>
      <c r="P656" s="16"/>
    </row>
    <row r="657" spans="1:16" s="4" customFormat="1" x14ac:dyDescent="0.25">
      <c r="A657" s="62" t="s">
        <v>1696</v>
      </c>
      <c r="B657" s="12">
        <v>9781137340825</v>
      </c>
      <c r="C657" s="13" t="s">
        <v>1317</v>
      </c>
      <c r="D657" s="14" t="str">
        <f>HYPERLINK("http://www.springer.com/gp/book/9781137340825","The Contemporary Embassy")</f>
        <v>The Contemporary Embassy</v>
      </c>
      <c r="E657" s="20" t="s">
        <v>1318</v>
      </c>
      <c r="F657" s="15" t="s">
        <v>700</v>
      </c>
      <c r="G657" s="16" t="s">
        <v>1525</v>
      </c>
      <c r="H657" s="17">
        <v>2147</v>
      </c>
      <c r="I657" s="37">
        <v>20</v>
      </c>
      <c r="J657" s="59">
        <v>1718</v>
      </c>
      <c r="K657" s="40">
        <v>66.989999999999995</v>
      </c>
      <c r="L657" s="41" t="s">
        <v>275</v>
      </c>
      <c r="M657" s="26" t="s">
        <v>274</v>
      </c>
      <c r="N657" s="11"/>
      <c r="O657" s="15"/>
      <c r="P657" s="16"/>
    </row>
    <row r="658" spans="1:16" s="4" customFormat="1" x14ac:dyDescent="0.25">
      <c r="A658" s="62" t="s">
        <v>1696</v>
      </c>
      <c r="B658" s="12">
        <v>9780230221819</v>
      </c>
      <c r="C658" s="13" t="s">
        <v>1310</v>
      </c>
      <c r="D658" s="14" t="str">
        <f>HYPERLINK("http://www.springer.com/gp/book/9780230221819","The Determinants of Currency Crises")</f>
        <v>The Determinants of Currency Crises</v>
      </c>
      <c r="E658" s="20" t="s">
        <v>1311</v>
      </c>
      <c r="F658" s="15" t="s">
        <v>696</v>
      </c>
      <c r="G658" s="16" t="s">
        <v>1525</v>
      </c>
      <c r="H658" s="17">
        <v>3756</v>
      </c>
      <c r="I658" s="37">
        <v>25</v>
      </c>
      <c r="J658" s="59">
        <v>2817</v>
      </c>
      <c r="K658" s="40">
        <v>119.99</v>
      </c>
      <c r="L658" s="41" t="s">
        <v>275</v>
      </c>
      <c r="M658" s="26" t="s">
        <v>274</v>
      </c>
      <c r="N658" s="11"/>
      <c r="O658" s="15"/>
      <c r="P658" s="16"/>
    </row>
    <row r="659" spans="1:16" s="4" customFormat="1" x14ac:dyDescent="0.25">
      <c r="A659" s="62" t="s">
        <v>1696</v>
      </c>
      <c r="B659" s="12">
        <v>9781403976536</v>
      </c>
      <c r="C659" s="13" t="s">
        <v>1403</v>
      </c>
      <c r="D659" s="14" t="str">
        <f>HYPERLINK("http://www.springer.com/gp/book/9781403976536","The Development of Institutions of Human Rights")</f>
        <v>The Development of Institutions of Human Rights</v>
      </c>
      <c r="E659" s="20" t="s">
        <v>1404</v>
      </c>
      <c r="F659" s="15" t="s">
        <v>688</v>
      </c>
      <c r="G659" s="16" t="s">
        <v>1525</v>
      </c>
      <c r="H659" s="17">
        <v>1121</v>
      </c>
      <c r="I659" s="37">
        <v>25</v>
      </c>
      <c r="J659" s="59">
        <v>841</v>
      </c>
      <c r="K659" s="40">
        <v>34.99</v>
      </c>
      <c r="L659" s="41" t="s">
        <v>275</v>
      </c>
      <c r="M659" s="19" t="s">
        <v>273</v>
      </c>
      <c r="N659" s="11"/>
      <c r="O659" s="15"/>
      <c r="P659" s="16"/>
    </row>
    <row r="660" spans="1:16" s="4" customFormat="1" x14ac:dyDescent="0.25">
      <c r="A660" s="62" t="s">
        <v>1696</v>
      </c>
      <c r="B660" s="12">
        <v>9781137297679</v>
      </c>
      <c r="C660" s="13" t="s">
        <v>1193</v>
      </c>
      <c r="D660" s="14" t="str">
        <f>HYPERLINK("http://www.springer.com/gp/book/9781137297679","The Diplomacies of Small States")</f>
        <v>The Diplomacies of Small States</v>
      </c>
      <c r="E660" s="20" t="s">
        <v>1194</v>
      </c>
      <c r="F660" s="15" t="s">
        <v>700</v>
      </c>
      <c r="G660" s="16" t="s">
        <v>1525</v>
      </c>
      <c r="H660" s="17">
        <v>1121</v>
      </c>
      <c r="I660" s="37">
        <v>20</v>
      </c>
      <c r="J660" s="59">
        <v>897</v>
      </c>
      <c r="K660" s="40">
        <v>34.99</v>
      </c>
      <c r="L660" s="41" t="s">
        <v>275</v>
      </c>
      <c r="M660" s="19" t="s">
        <v>273</v>
      </c>
      <c r="N660" s="11"/>
      <c r="O660" s="15"/>
      <c r="P660" s="16"/>
    </row>
    <row r="661" spans="1:16" s="4" customFormat="1" x14ac:dyDescent="0.25">
      <c r="A661" s="62" t="s">
        <v>1696</v>
      </c>
      <c r="B661" s="12">
        <v>9780230110984</v>
      </c>
      <c r="C661" s="13" t="s">
        <v>144</v>
      </c>
      <c r="D661" s="14" t="str">
        <f>HYPERLINK("http://www.springer.com/gp/book/9780230110984","The Ethics and Efficacy of the Global War on Terrorism")</f>
        <v>The Ethics and Efficacy of the Global War on Terrorism</v>
      </c>
      <c r="E661" s="20" t="s">
        <v>1360</v>
      </c>
      <c r="F661" s="15" t="s">
        <v>714</v>
      </c>
      <c r="G661" s="16" t="s">
        <v>1525</v>
      </c>
      <c r="H661" s="17">
        <v>2817</v>
      </c>
      <c r="I661" s="37">
        <v>25</v>
      </c>
      <c r="J661" s="59">
        <v>2113</v>
      </c>
      <c r="K661" s="40">
        <v>89.99</v>
      </c>
      <c r="L661" s="41" t="s">
        <v>275</v>
      </c>
      <c r="M661" s="26" t="s">
        <v>274</v>
      </c>
      <c r="N661" s="11"/>
      <c r="O661" s="15"/>
      <c r="P661" s="16"/>
    </row>
    <row r="662" spans="1:16" s="4" customFormat="1" x14ac:dyDescent="0.25">
      <c r="A662" s="62" t="s">
        <v>1696</v>
      </c>
      <c r="B662" s="12">
        <v>9780230378674</v>
      </c>
      <c r="C662" s="13" t="s">
        <v>1250</v>
      </c>
      <c r="D662" s="14" t="str">
        <f>HYPERLINK("http://www.springer.com/gp/book/9780230378674","The EU as a Global Security Actor")</f>
        <v>The EU as a Global Security Actor</v>
      </c>
      <c r="E662" s="20" t="s">
        <v>1252</v>
      </c>
      <c r="F662" s="15" t="s">
        <v>700</v>
      </c>
      <c r="G662" s="16" t="s">
        <v>1525</v>
      </c>
      <c r="H662" s="17">
        <v>2817</v>
      </c>
      <c r="I662" s="37">
        <v>20</v>
      </c>
      <c r="J662" s="59">
        <v>2254</v>
      </c>
      <c r="K662" s="40">
        <v>89.99</v>
      </c>
      <c r="L662" s="41" t="s">
        <v>275</v>
      </c>
      <c r="M662" s="26" t="s">
        <v>274</v>
      </c>
      <c r="N662" s="11"/>
      <c r="O662" s="15"/>
      <c r="P662" s="16"/>
    </row>
    <row r="663" spans="1:16" s="4" customFormat="1" x14ac:dyDescent="0.25">
      <c r="A663" s="63" t="s">
        <v>1696</v>
      </c>
      <c r="B663" s="22">
        <v>9780333587478</v>
      </c>
      <c r="C663" s="23" t="s">
        <v>648</v>
      </c>
      <c r="D663" s="24" t="s">
        <v>276</v>
      </c>
      <c r="E663" s="23"/>
      <c r="F663" s="25">
        <v>2015</v>
      </c>
      <c r="G663" s="26" t="s">
        <v>1678</v>
      </c>
      <c r="H663" s="27">
        <v>1224</v>
      </c>
      <c r="I663" s="37">
        <v>20</v>
      </c>
      <c r="J663" s="59">
        <v>979</v>
      </c>
      <c r="K663" s="42">
        <v>29.99</v>
      </c>
      <c r="L663" s="43" t="s">
        <v>272</v>
      </c>
      <c r="M663" s="26" t="s">
        <v>273</v>
      </c>
      <c r="N663" s="21"/>
      <c r="O663" s="25">
        <v>312</v>
      </c>
      <c r="P663" s="28" t="s">
        <v>649</v>
      </c>
    </row>
    <row r="664" spans="1:16" s="4" customFormat="1" x14ac:dyDescent="0.25">
      <c r="A664" s="62" t="s">
        <v>1696</v>
      </c>
      <c r="B664" s="12">
        <v>9780230203853</v>
      </c>
      <c r="C664" s="13" t="s">
        <v>1365</v>
      </c>
      <c r="D664" s="14" t="str">
        <f>HYPERLINK("http://www.springer.com/gp/book/9780230203853","The European Neighbourhood Policy in Perspective")</f>
        <v>The European Neighbourhood Policy in Perspective</v>
      </c>
      <c r="E664" s="20" t="s">
        <v>1366</v>
      </c>
      <c r="F664" s="15" t="s">
        <v>688</v>
      </c>
      <c r="G664" s="16" t="s">
        <v>1525</v>
      </c>
      <c r="H664" s="17">
        <v>3286</v>
      </c>
      <c r="I664" s="37">
        <v>25</v>
      </c>
      <c r="J664" s="59">
        <v>2465</v>
      </c>
      <c r="K664" s="40">
        <v>104.99</v>
      </c>
      <c r="L664" s="41" t="s">
        <v>275</v>
      </c>
      <c r="M664" s="26" t="s">
        <v>274</v>
      </c>
      <c r="N664" s="11"/>
      <c r="O664" s="15"/>
      <c r="P664" s="16"/>
    </row>
    <row r="665" spans="1:16" s="4" customFormat="1" x14ac:dyDescent="0.25">
      <c r="A665" s="62" t="s">
        <v>1696</v>
      </c>
      <c r="B665" s="12">
        <v>9780230301658</v>
      </c>
      <c r="C665" s="13" t="s">
        <v>258</v>
      </c>
      <c r="D665" s="14" t="str">
        <f>HYPERLINK("http://www.springer.com/gp/book/9780230301658","The European Union and its Crises")</f>
        <v>The European Union and its Crises</v>
      </c>
      <c r="E665" s="20" t="s">
        <v>1309</v>
      </c>
      <c r="F665" s="15" t="s">
        <v>714</v>
      </c>
      <c r="G665" s="16" t="s">
        <v>1525</v>
      </c>
      <c r="H665" s="17">
        <v>2817</v>
      </c>
      <c r="I665" s="37">
        <v>25</v>
      </c>
      <c r="J665" s="59">
        <v>2113</v>
      </c>
      <c r="K665" s="40">
        <v>89.99</v>
      </c>
      <c r="L665" s="41" t="s">
        <v>275</v>
      </c>
      <c r="M665" s="26" t="s">
        <v>274</v>
      </c>
      <c r="N665" s="11"/>
      <c r="O665" s="15"/>
      <c r="P665" s="16"/>
    </row>
    <row r="666" spans="1:16" s="4" customFormat="1" x14ac:dyDescent="0.25">
      <c r="A666" s="62" t="s">
        <v>1696</v>
      </c>
      <c r="B666" s="12">
        <v>9781137023629</v>
      </c>
      <c r="C666" s="13" t="s">
        <v>1261</v>
      </c>
      <c r="D666" s="14" t="str">
        <f>HYPERLINK("http://www.springer.com/gp/book/9781137023629","The European Union and the Council of Europe")</f>
        <v>The European Union and the Council of Europe</v>
      </c>
      <c r="E666" s="20"/>
      <c r="F666" s="15" t="s">
        <v>700</v>
      </c>
      <c r="G666" s="16" t="s">
        <v>1525</v>
      </c>
      <c r="H666" s="17">
        <v>2817</v>
      </c>
      <c r="I666" s="37">
        <v>20</v>
      </c>
      <c r="J666" s="59">
        <v>2254</v>
      </c>
      <c r="K666" s="40">
        <v>89.99</v>
      </c>
      <c r="L666" s="41" t="s">
        <v>275</v>
      </c>
      <c r="M666" s="26" t="s">
        <v>274</v>
      </c>
      <c r="N666" s="11"/>
      <c r="O666" s="15"/>
      <c r="P666" s="16"/>
    </row>
    <row r="667" spans="1:16" s="4" customFormat="1" x14ac:dyDescent="0.25">
      <c r="A667" s="62" t="s">
        <v>1696</v>
      </c>
      <c r="B667" s="12">
        <v>9781137465009</v>
      </c>
      <c r="C667" s="13" t="s">
        <v>145</v>
      </c>
      <c r="D667" s="14" t="str">
        <f>HYPERLINK("http://www.springer.com/gp/book/9781137465009","The European Union in Global Security")</f>
        <v>The European Union in Global Security</v>
      </c>
      <c r="E667" s="20" t="s">
        <v>1217</v>
      </c>
      <c r="F667" s="15" t="s">
        <v>708</v>
      </c>
      <c r="G667" s="16" t="s">
        <v>1525</v>
      </c>
      <c r="H667" s="17">
        <v>1121</v>
      </c>
      <c r="I667" s="37">
        <v>20</v>
      </c>
      <c r="J667" s="59">
        <v>897</v>
      </c>
      <c r="K667" s="40">
        <v>34.99</v>
      </c>
      <c r="L667" s="41" t="s">
        <v>275</v>
      </c>
      <c r="M667" s="19" t="s">
        <v>273</v>
      </c>
      <c r="N667" s="11"/>
      <c r="O667" s="15"/>
      <c r="P667" s="16"/>
    </row>
    <row r="668" spans="1:16" s="4" customFormat="1" x14ac:dyDescent="0.25">
      <c r="A668" s="62" t="s">
        <v>1696</v>
      </c>
      <c r="B668" s="12">
        <v>9780230248267</v>
      </c>
      <c r="C668" s="13" t="s">
        <v>145</v>
      </c>
      <c r="D668" s="14" t="str">
        <f>HYPERLINK("http://www.springer.com/gp/book/9780230248267","The European Union in Global Security")</f>
        <v>The European Union in Global Security</v>
      </c>
      <c r="E668" s="20" t="s">
        <v>1217</v>
      </c>
      <c r="F668" s="15" t="s">
        <v>708</v>
      </c>
      <c r="G668" s="16" t="s">
        <v>1525</v>
      </c>
      <c r="H668" s="17">
        <v>3286</v>
      </c>
      <c r="I668" s="37">
        <v>20</v>
      </c>
      <c r="J668" s="59">
        <v>2629</v>
      </c>
      <c r="K668" s="40">
        <v>104.99</v>
      </c>
      <c r="L668" s="41" t="s">
        <v>275</v>
      </c>
      <c r="M668" s="26" t="s">
        <v>274</v>
      </c>
      <c r="N668" s="11"/>
      <c r="O668" s="15"/>
      <c r="P668" s="16"/>
    </row>
    <row r="669" spans="1:16" s="4" customFormat="1" x14ac:dyDescent="0.25">
      <c r="A669" s="62" t="s">
        <v>1696</v>
      </c>
      <c r="B669" s="12">
        <v>9781137356741</v>
      </c>
      <c r="C669" s="13" t="s">
        <v>1195</v>
      </c>
      <c r="D669" s="14" t="str">
        <f>HYPERLINK("http://www.springer.com/gp/book/9781137356741","The Eurozone Crisis and the Future of Europe")</f>
        <v>The Eurozone Crisis and the Future of Europe</v>
      </c>
      <c r="E669" s="20" t="s">
        <v>1196</v>
      </c>
      <c r="F669" s="15" t="s">
        <v>708</v>
      </c>
      <c r="G669" s="16" t="s">
        <v>1525</v>
      </c>
      <c r="H669" s="17">
        <v>2817</v>
      </c>
      <c r="I669" s="37">
        <v>20</v>
      </c>
      <c r="J669" s="59">
        <v>2254</v>
      </c>
      <c r="K669" s="40">
        <v>89.99</v>
      </c>
      <c r="L669" s="41" t="s">
        <v>275</v>
      </c>
      <c r="M669" s="26" t="s">
        <v>274</v>
      </c>
      <c r="N669" s="11"/>
      <c r="O669" s="15"/>
      <c r="P669" s="16"/>
    </row>
    <row r="670" spans="1:16" s="4" customFormat="1" x14ac:dyDescent="0.25">
      <c r="A670" s="62" t="s">
        <v>1696</v>
      </c>
      <c r="B670" s="12">
        <v>9781137294692</v>
      </c>
      <c r="C670" s="13" t="s">
        <v>1215</v>
      </c>
      <c r="D670" s="14" t="str">
        <f>HYPERLINK("http://www.springer.com/gp/book/9781137294692","The Field of Eurocracy")</f>
        <v>The Field of Eurocracy</v>
      </c>
      <c r="E670" s="20" t="s">
        <v>1216</v>
      </c>
      <c r="F670" s="15" t="s">
        <v>700</v>
      </c>
      <c r="G670" s="16" t="s">
        <v>1525</v>
      </c>
      <c r="H670" s="17">
        <v>3130</v>
      </c>
      <c r="I670" s="37">
        <v>20</v>
      </c>
      <c r="J670" s="59">
        <v>2504</v>
      </c>
      <c r="K670" s="40">
        <v>99.99</v>
      </c>
      <c r="L670" s="41" t="s">
        <v>275</v>
      </c>
      <c r="M670" s="26" t="s">
        <v>274</v>
      </c>
      <c r="N670" s="11"/>
      <c r="O670" s="15"/>
      <c r="P670" s="16"/>
    </row>
    <row r="671" spans="1:16" s="4" customFormat="1" x14ac:dyDescent="0.25">
      <c r="A671" s="62" t="s">
        <v>1696</v>
      </c>
      <c r="B671" s="29">
        <v>9781403947222</v>
      </c>
      <c r="C671" s="30" t="s">
        <v>147</v>
      </c>
      <c r="D671" s="31" t="s">
        <v>148</v>
      </c>
      <c r="E671" s="30"/>
      <c r="F671" s="32">
        <v>2008</v>
      </c>
      <c r="G671" s="19" t="s">
        <v>4</v>
      </c>
      <c r="H671" s="33">
        <v>1183</v>
      </c>
      <c r="I671" s="37">
        <v>25</v>
      </c>
      <c r="J671" s="59">
        <v>887</v>
      </c>
      <c r="K671" s="44">
        <v>28.99</v>
      </c>
      <c r="L671" s="45" t="s">
        <v>272</v>
      </c>
      <c r="M671" s="19" t="s">
        <v>273</v>
      </c>
      <c r="N671" s="29"/>
      <c r="O671" s="18">
        <v>392</v>
      </c>
      <c r="P671" s="19" t="s">
        <v>1649</v>
      </c>
    </row>
    <row r="672" spans="1:16" s="4" customFormat="1" x14ac:dyDescent="0.25">
      <c r="A672" s="62" t="s">
        <v>1696</v>
      </c>
      <c r="B672" s="29">
        <v>9781403947215</v>
      </c>
      <c r="C672" s="30" t="s">
        <v>229</v>
      </c>
      <c r="D672" s="31" t="s">
        <v>148</v>
      </c>
      <c r="E672" s="30"/>
      <c r="F672" s="32">
        <v>2008</v>
      </c>
      <c r="G672" s="19" t="s">
        <v>4</v>
      </c>
      <c r="H672" s="33">
        <v>2858</v>
      </c>
      <c r="I672" s="37">
        <v>25</v>
      </c>
      <c r="J672" s="59">
        <v>2144</v>
      </c>
      <c r="K672" s="44">
        <v>70</v>
      </c>
      <c r="L672" s="45" t="s">
        <v>272</v>
      </c>
      <c r="M672" s="19" t="s">
        <v>274</v>
      </c>
      <c r="N672" s="29"/>
      <c r="O672" s="18">
        <v>320</v>
      </c>
      <c r="P672" s="19" t="s">
        <v>1648</v>
      </c>
    </row>
    <row r="673" spans="1:16" s="4" customFormat="1" x14ac:dyDescent="0.25">
      <c r="A673" s="62" t="s">
        <v>1696</v>
      </c>
      <c r="B673" s="22">
        <v>9781137025746</v>
      </c>
      <c r="C673" s="23" t="s">
        <v>546</v>
      </c>
      <c r="D673" s="24" t="s">
        <v>148</v>
      </c>
      <c r="E673" s="23"/>
      <c r="F673" s="25">
        <v>2014</v>
      </c>
      <c r="G673" s="26" t="s">
        <v>1678</v>
      </c>
      <c r="H673" s="27">
        <v>1183</v>
      </c>
      <c r="I673" s="37">
        <v>20</v>
      </c>
      <c r="J673" s="59">
        <v>946</v>
      </c>
      <c r="K673" s="42">
        <v>28.99</v>
      </c>
      <c r="L673" s="43" t="s">
        <v>272</v>
      </c>
      <c r="M673" s="26" t="s">
        <v>273</v>
      </c>
      <c r="N673" s="21" t="s">
        <v>1679</v>
      </c>
      <c r="O673" s="25">
        <v>408</v>
      </c>
      <c r="P673" s="28" t="s">
        <v>547</v>
      </c>
    </row>
    <row r="674" spans="1:16" s="4" customFormat="1" x14ac:dyDescent="0.25">
      <c r="A674" s="62" t="s">
        <v>1696</v>
      </c>
      <c r="B674" s="12">
        <v>9780230219632</v>
      </c>
      <c r="C674" s="13" t="s">
        <v>1160</v>
      </c>
      <c r="D674" s="14" t="str">
        <f>HYPERLINK("http://www.springer.com/gp/book/9780230219632","The Frontiers of Democracy")</f>
        <v>The Frontiers of Democracy</v>
      </c>
      <c r="E674" s="20" t="s">
        <v>1161</v>
      </c>
      <c r="F674" s="15" t="s">
        <v>696</v>
      </c>
      <c r="G674" s="16" t="s">
        <v>1525</v>
      </c>
      <c r="H674" s="17">
        <v>3443</v>
      </c>
      <c r="I674" s="37">
        <v>25</v>
      </c>
      <c r="J674" s="59">
        <v>2582</v>
      </c>
      <c r="K674" s="40">
        <v>109.99</v>
      </c>
      <c r="L674" s="41" t="s">
        <v>275</v>
      </c>
      <c r="M674" s="26" t="s">
        <v>274</v>
      </c>
      <c r="N674" s="11"/>
      <c r="O674" s="15"/>
      <c r="P674" s="16"/>
    </row>
    <row r="675" spans="1:16" s="4" customFormat="1" x14ac:dyDescent="0.25">
      <c r="A675" s="62" t="s">
        <v>1696</v>
      </c>
      <c r="B675" s="12">
        <v>9780230617476</v>
      </c>
      <c r="C675" s="13" t="s">
        <v>1293</v>
      </c>
      <c r="D675" s="14" t="str">
        <f>HYPERLINK("http://www.springer.com/gp/book/9780230617476","The Future of Global Relations")</f>
        <v>The Future of Global Relations</v>
      </c>
      <c r="E675" s="20" t="s">
        <v>1294</v>
      </c>
      <c r="F675" s="15" t="s">
        <v>696</v>
      </c>
      <c r="G675" s="16" t="s">
        <v>1525</v>
      </c>
      <c r="H675" s="17">
        <v>3286</v>
      </c>
      <c r="I675" s="37">
        <v>25</v>
      </c>
      <c r="J675" s="59">
        <v>2465</v>
      </c>
      <c r="K675" s="40">
        <v>104.99</v>
      </c>
      <c r="L675" s="41" t="s">
        <v>275</v>
      </c>
      <c r="M675" s="26" t="s">
        <v>274</v>
      </c>
      <c r="N675" s="11"/>
      <c r="O675" s="15"/>
      <c r="P675" s="16"/>
    </row>
    <row r="676" spans="1:16" s="4" customFormat="1" x14ac:dyDescent="0.25">
      <c r="A676" s="62" t="s">
        <v>1696</v>
      </c>
      <c r="B676" s="12">
        <v>9781403996367</v>
      </c>
      <c r="C676" s="13" t="s">
        <v>1270</v>
      </c>
      <c r="D676" s="14" t="str">
        <f>HYPERLINK("http://www.springer.com/gp/book/9781403996367","The Global Competitiveness Report 2006-2007")</f>
        <v>The Global Competitiveness Report 2006-2007</v>
      </c>
      <c r="E676" s="20"/>
      <c r="F676" s="15" t="s">
        <v>917</v>
      </c>
      <c r="G676" s="16" t="s">
        <v>1525</v>
      </c>
      <c r="H676" s="17">
        <v>5164</v>
      </c>
      <c r="I676" s="38">
        <v>30</v>
      </c>
      <c r="J676" s="59">
        <v>3615</v>
      </c>
      <c r="K676" s="40">
        <v>164.99</v>
      </c>
      <c r="L676" s="41" t="s">
        <v>275</v>
      </c>
      <c r="M676" s="19" t="s">
        <v>273</v>
      </c>
      <c r="N676" s="11"/>
      <c r="O676" s="15"/>
      <c r="P676" s="16"/>
    </row>
    <row r="677" spans="1:16" s="4" customFormat="1" x14ac:dyDescent="0.25">
      <c r="A677" s="62" t="s">
        <v>1696</v>
      </c>
      <c r="B677" s="22">
        <v>9780230241183</v>
      </c>
      <c r="C677" s="23" t="s">
        <v>380</v>
      </c>
      <c r="D677" s="24" t="s">
        <v>379</v>
      </c>
      <c r="E677" s="23"/>
      <c r="F677" s="25">
        <v>2010</v>
      </c>
      <c r="G677" s="26" t="s">
        <v>1678</v>
      </c>
      <c r="H677" s="27">
        <v>1347</v>
      </c>
      <c r="I677" s="37">
        <v>25</v>
      </c>
      <c r="J677" s="59">
        <v>1010</v>
      </c>
      <c r="K677" s="42">
        <v>32.99</v>
      </c>
      <c r="L677" s="43" t="s">
        <v>272</v>
      </c>
      <c r="M677" s="26" t="s">
        <v>273</v>
      </c>
      <c r="N677" s="21" t="s">
        <v>1684</v>
      </c>
      <c r="O677" s="25">
        <v>512</v>
      </c>
      <c r="P677" s="28" t="s">
        <v>381</v>
      </c>
    </row>
    <row r="678" spans="1:16" s="4" customFormat="1" x14ac:dyDescent="0.25">
      <c r="A678" s="62" t="s">
        <v>1696</v>
      </c>
      <c r="B678" s="12">
        <v>9780230292925</v>
      </c>
      <c r="C678" s="13" t="s">
        <v>257</v>
      </c>
      <c r="D678" s="14" t="str">
        <f>HYPERLINK("http://www.springer.com/gp/book/9780230292925","The Challenge of Democratic Representation in the European Union")</f>
        <v>The Challenge of Democratic Representation in the European Union</v>
      </c>
      <c r="E678" s="20"/>
      <c r="F678" s="15" t="s">
        <v>752</v>
      </c>
      <c r="G678" s="16" t="s">
        <v>1525</v>
      </c>
      <c r="H678" s="17">
        <v>3130</v>
      </c>
      <c r="I678" s="37">
        <v>20</v>
      </c>
      <c r="J678" s="59">
        <v>2504</v>
      </c>
      <c r="K678" s="40">
        <v>99.99</v>
      </c>
      <c r="L678" s="41" t="s">
        <v>275</v>
      </c>
      <c r="M678" s="26" t="s">
        <v>274</v>
      </c>
      <c r="N678" s="11"/>
      <c r="O678" s="15"/>
      <c r="P678" s="16"/>
    </row>
    <row r="679" spans="1:16" s="4" customFormat="1" x14ac:dyDescent="0.25">
      <c r="A679" s="62" t="s">
        <v>1696</v>
      </c>
      <c r="B679" s="29">
        <v>9780333754238</v>
      </c>
      <c r="C679" s="30" t="s">
        <v>138</v>
      </c>
      <c r="D679" s="31" t="s">
        <v>139</v>
      </c>
      <c r="E679" s="30"/>
      <c r="F679" s="32">
        <v>2003</v>
      </c>
      <c r="G679" s="19" t="s">
        <v>4</v>
      </c>
      <c r="H679" s="33">
        <v>1224</v>
      </c>
      <c r="I679" s="38">
        <v>30</v>
      </c>
      <c r="J679" s="59">
        <v>857</v>
      </c>
      <c r="K679" s="44">
        <v>29.99</v>
      </c>
      <c r="L679" s="45" t="s">
        <v>272</v>
      </c>
      <c r="M679" s="19" t="s">
        <v>273</v>
      </c>
      <c r="N679" s="29"/>
      <c r="O679" s="18">
        <v>400</v>
      </c>
      <c r="P679" s="19" t="s">
        <v>1580</v>
      </c>
    </row>
    <row r="680" spans="1:16" s="4" customFormat="1" x14ac:dyDescent="0.25">
      <c r="A680" s="62" t="s">
        <v>1696</v>
      </c>
      <c r="B680" s="12">
        <v>9780230608382</v>
      </c>
      <c r="C680" s="13" t="s">
        <v>757</v>
      </c>
      <c r="D680" s="14" t="str">
        <f>HYPERLINK("http://www.springer.com/gp/book/9780230608382","The Impact of 9/11 and the New Legal Landscape")</f>
        <v>The Impact of 9/11 and the New Legal Landscape</v>
      </c>
      <c r="E680" s="20" t="s">
        <v>758</v>
      </c>
      <c r="F680" s="15" t="s">
        <v>696</v>
      </c>
      <c r="G680" s="16" t="s">
        <v>1525</v>
      </c>
      <c r="H680" s="17">
        <v>3443</v>
      </c>
      <c r="I680" s="37">
        <v>25</v>
      </c>
      <c r="J680" s="59">
        <v>2582</v>
      </c>
      <c r="K680" s="40">
        <v>109.99</v>
      </c>
      <c r="L680" s="41" t="s">
        <v>275</v>
      </c>
      <c r="M680" s="26" t="s">
        <v>274</v>
      </c>
      <c r="N680" s="11"/>
      <c r="O680" s="15"/>
      <c r="P680" s="16"/>
    </row>
    <row r="681" spans="1:16" s="4" customFormat="1" x14ac:dyDescent="0.25">
      <c r="A681" s="62" t="s">
        <v>1696</v>
      </c>
      <c r="B681" s="12">
        <v>9781137380807</v>
      </c>
      <c r="C681" s="13" t="s">
        <v>1231</v>
      </c>
      <c r="D681" s="14" t="str">
        <f>HYPERLINK("http://www.springer.com/gp/book/9781137380807","The Integrity of Governance")</f>
        <v>The Integrity of Governance</v>
      </c>
      <c r="E681" s="20" t="s">
        <v>1232</v>
      </c>
      <c r="F681" s="15" t="s">
        <v>708</v>
      </c>
      <c r="G681" s="16" t="s">
        <v>1525</v>
      </c>
      <c r="H681" s="17">
        <v>2817</v>
      </c>
      <c r="I681" s="37">
        <v>20</v>
      </c>
      <c r="J681" s="59">
        <v>2254</v>
      </c>
      <c r="K681" s="40">
        <v>89.99</v>
      </c>
      <c r="L681" s="41" t="s">
        <v>275</v>
      </c>
      <c r="M681" s="26" t="s">
        <v>274</v>
      </c>
      <c r="N681" s="11"/>
      <c r="O681" s="15"/>
      <c r="P681" s="16"/>
    </row>
    <row r="682" spans="1:16" s="4" customFormat="1" x14ac:dyDescent="0.25">
      <c r="A682" s="62" t="s">
        <v>1696</v>
      </c>
      <c r="B682" s="12">
        <v>9781403974655</v>
      </c>
      <c r="C682" s="13" t="s">
        <v>1275</v>
      </c>
      <c r="D682" s="14" t="str">
        <f>HYPERLINK("http://www.springer.com/gp/book/9781403974655","The Logics of Biopower and the War on Terror")</f>
        <v>The Logics of Biopower and the War on Terror</v>
      </c>
      <c r="E682" s="20" t="s">
        <v>1276</v>
      </c>
      <c r="F682" s="15" t="s">
        <v>729</v>
      </c>
      <c r="G682" s="16" t="s">
        <v>1525</v>
      </c>
      <c r="H682" s="17">
        <v>2723</v>
      </c>
      <c r="I682" s="38">
        <v>30</v>
      </c>
      <c r="J682" s="59">
        <v>1906</v>
      </c>
      <c r="K682" s="40">
        <v>86.99</v>
      </c>
      <c r="L682" s="41" t="s">
        <v>275</v>
      </c>
      <c r="M682" s="26" t="s">
        <v>274</v>
      </c>
      <c r="N682" s="11"/>
      <c r="O682" s="15"/>
      <c r="P682" s="16"/>
    </row>
    <row r="683" spans="1:16" s="4" customFormat="1" x14ac:dyDescent="0.25">
      <c r="A683" s="62" t="s">
        <v>1696</v>
      </c>
      <c r="B683" s="12">
        <v>9780230203808</v>
      </c>
      <c r="C683" s="13" t="s">
        <v>1155</v>
      </c>
      <c r="D683" s="14" t="str">
        <f>HYPERLINK("http://www.springer.com/gp/book/9780230203808","The Northern Ireland Question")</f>
        <v>The Northern Ireland Question</v>
      </c>
      <c r="E683" s="20" t="s">
        <v>1156</v>
      </c>
      <c r="F683" s="15" t="s">
        <v>696</v>
      </c>
      <c r="G683" s="16" t="s">
        <v>1525</v>
      </c>
      <c r="H683" s="17">
        <v>3286</v>
      </c>
      <c r="I683" s="37">
        <v>25</v>
      </c>
      <c r="J683" s="59">
        <v>2465</v>
      </c>
      <c r="K683" s="40">
        <v>104.99</v>
      </c>
      <c r="L683" s="41" t="s">
        <v>275</v>
      </c>
      <c r="M683" s="26" t="s">
        <v>274</v>
      </c>
      <c r="N683" s="11"/>
      <c r="O683" s="15"/>
      <c r="P683" s="16"/>
    </row>
    <row r="684" spans="1:16" s="4" customFormat="1" x14ac:dyDescent="0.25">
      <c r="A684" s="63" t="s">
        <v>1696</v>
      </c>
      <c r="B684" s="22">
        <v>9780230535510</v>
      </c>
      <c r="C684" s="23" t="s">
        <v>406</v>
      </c>
      <c r="D684" s="24" t="s">
        <v>162</v>
      </c>
      <c r="E684" s="23"/>
      <c r="F684" s="25">
        <v>2007</v>
      </c>
      <c r="G684" s="26" t="s">
        <v>1678</v>
      </c>
      <c r="H684" s="27">
        <v>1224</v>
      </c>
      <c r="I684" s="38">
        <v>30</v>
      </c>
      <c r="J684" s="59">
        <v>857</v>
      </c>
      <c r="K684" s="42">
        <v>29.99</v>
      </c>
      <c r="L684" s="43" t="s">
        <v>272</v>
      </c>
      <c r="M684" s="26" t="s">
        <v>273</v>
      </c>
      <c r="N684" s="21"/>
      <c r="O684" s="25">
        <v>208</v>
      </c>
      <c r="P684" s="28" t="s">
        <v>407</v>
      </c>
    </row>
    <row r="685" spans="1:16" s="4" customFormat="1" x14ac:dyDescent="0.25">
      <c r="A685" s="62" t="s">
        <v>1696</v>
      </c>
      <c r="B685" s="12">
        <v>9781137293794</v>
      </c>
      <c r="C685" s="13" t="s">
        <v>1375</v>
      </c>
      <c r="D685" s="14" t="str">
        <f>HYPERLINK("http://www.springer.com/gp/book/9781137293794","The Palgrave Handbook of Social Democracy in the European Union")</f>
        <v>The Palgrave Handbook of Social Democracy in the European Union</v>
      </c>
      <c r="E685" s="20"/>
      <c r="F685" s="15" t="s">
        <v>700</v>
      </c>
      <c r="G685" s="16" t="s">
        <v>1525</v>
      </c>
      <c r="H685" s="17">
        <v>6260</v>
      </c>
      <c r="I685" s="37">
        <v>20</v>
      </c>
      <c r="J685" s="59">
        <v>5008</v>
      </c>
      <c r="K685" s="40">
        <v>199.99</v>
      </c>
      <c r="L685" s="41" t="s">
        <v>275</v>
      </c>
      <c r="M685" s="26" t="s">
        <v>274</v>
      </c>
      <c r="N685" s="11"/>
      <c r="O685" s="15"/>
      <c r="P685" s="16"/>
    </row>
    <row r="686" spans="1:16" s="4" customFormat="1" x14ac:dyDescent="0.25">
      <c r="A686" s="62" t="s">
        <v>1696</v>
      </c>
      <c r="B686" s="12">
        <v>9781137516428</v>
      </c>
      <c r="C686" s="13" t="s">
        <v>278</v>
      </c>
      <c r="D686" s="14" t="str">
        <f>HYPERLINK("http://www.springer.com/gp/book/9781137516428","The Political Marketing Game")</f>
        <v>The Political Marketing Game</v>
      </c>
      <c r="E686" s="20"/>
      <c r="F686" s="15" t="s">
        <v>714</v>
      </c>
      <c r="G686" s="16" t="s">
        <v>1525</v>
      </c>
      <c r="H686" s="17">
        <v>865</v>
      </c>
      <c r="I686" s="37">
        <v>25</v>
      </c>
      <c r="J686" s="59">
        <v>649</v>
      </c>
      <c r="K686" s="40">
        <v>26.99</v>
      </c>
      <c r="L686" s="41" t="s">
        <v>275</v>
      </c>
      <c r="M686" s="19" t="s">
        <v>273</v>
      </c>
      <c r="N686" s="11"/>
      <c r="O686" s="15"/>
      <c r="P686" s="16"/>
    </row>
    <row r="687" spans="1:16" s="4" customFormat="1" x14ac:dyDescent="0.25">
      <c r="A687" s="62" t="s">
        <v>1696</v>
      </c>
      <c r="B687" s="22">
        <v>9780230517905</v>
      </c>
      <c r="C687" s="23" t="s">
        <v>362</v>
      </c>
      <c r="D687" s="24" t="s">
        <v>230</v>
      </c>
      <c r="E687" s="23"/>
      <c r="F687" s="25">
        <v>2008</v>
      </c>
      <c r="G687" s="26" t="s">
        <v>1678</v>
      </c>
      <c r="H687" s="27">
        <v>1183</v>
      </c>
      <c r="I687" s="37">
        <v>25</v>
      </c>
      <c r="J687" s="59">
        <v>887</v>
      </c>
      <c r="K687" s="42">
        <v>28.99</v>
      </c>
      <c r="L687" s="43" t="s">
        <v>272</v>
      </c>
      <c r="M687" s="26" t="s">
        <v>273</v>
      </c>
      <c r="N687" s="21"/>
      <c r="O687" s="25">
        <v>320</v>
      </c>
      <c r="P687" s="28" t="s">
        <v>363</v>
      </c>
    </row>
    <row r="688" spans="1:16" s="4" customFormat="1" x14ac:dyDescent="0.25">
      <c r="A688" s="62" t="s">
        <v>1696</v>
      </c>
      <c r="B688" s="12">
        <v>9780230290846</v>
      </c>
      <c r="C688" s="13" t="s">
        <v>1389</v>
      </c>
      <c r="D688" s="14" t="str">
        <f>HYPERLINK("http://www.springer.com/gp/book/9780230290846","The Politics of Emerging Strategic Technologies")</f>
        <v>The Politics of Emerging Strategic Technologies</v>
      </c>
      <c r="E688" s="20" t="s">
        <v>1390</v>
      </c>
      <c r="F688" s="15" t="s">
        <v>714</v>
      </c>
      <c r="G688" s="16" t="s">
        <v>1525</v>
      </c>
      <c r="H688" s="17">
        <v>3286</v>
      </c>
      <c r="I688" s="37">
        <v>25</v>
      </c>
      <c r="J688" s="59">
        <v>2465</v>
      </c>
      <c r="K688" s="40">
        <v>104.99</v>
      </c>
      <c r="L688" s="41" t="s">
        <v>275</v>
      </c>
      <c r="M688" s="26" t="s">
        <v>274</v>
      </c>
      <c r="N688" s="11"/>
      <c r="O688" s="15"/>
      <c r="P688" s="16"/>
    </row>
    <row r="689" spans="1:16" s="4" customFormat="1" x14ac:dyDescent="0.25">
      <c r="A689" s="62" t="s">
        <v>1696</v>
      </c>
      <c r="B689" s="12">
        <v>9781137030238</v>
      </c>
      <c r="C689" s="13" t="s">
        <v>1445</v>
      </c>
      <c r="D689" s="14" t="str">
        <f>HYPERLINK("http://www.springer.com/gp/book/9781137030238","The Politics of International Migration Management")</f>
        <v>The Politics of International Migration Management</v>
      </c>
      <c r="E689" s="20"/>
      <c r="F689" s="15" t="s">
        <v>688</v>
      </c>
      <c r="G689" s="16" t="s">
        <v>1525</v>
      </c>
      <c r="H689" s="17">
        <v>961</v>
      </c>
      <c r="I689" s="37">
        <v>25</v>
      </c>
      <c r="J689" s="59">
        <v>721</v>
      </c>
      <c r="K689" s="40">
        <v>29.99</v>
      </c>
      <c r="L689" s="41" t="s">
        <v>275</v>
      </c>
      <c r="M689" s="19" t="s">
        <v>273</v>
      </c>
      <c r="N689" s="11"/>
      <c r="O689" s="15"/>
      <c r="P689" s="16"/>
    </row>
    <row r="690" spans="1:16" s="4" customFormat="1" x14ac:dyDescent="0.25">
      <c r="A690" s="62" t="s">
        <v>1696</v>
      </c>
      <c r="B690" s="12">
        <v>9780230272583</v>
      </c>
      <c r="C690" s="13" t="s">
        <v>1445</v>
      </c>
      <c r="D690" s="14" t="str">
        <f>HYPERLINK("http://www.springer.com/gp/book/9780230272583","The Politics of International Migration Management")</f>
        <v>The Politics of International Migration Management</v>
      </c>
      <c r="E690" s="20"/>
      <c r="F690" s="15" t="s">
        <v>688</v>
      </c>
      <c r="G690" s="16" t="s">
        <v>1525</v>
      </c>
      <c r="H690" s="17">
        <v>2973</v>
      </c>
      <c r="I690" s="37">
        <v>25</v>
      </c>
      <c r="J690" s="59">
        <v>2230</v>
      </c>
      <c r="K690" s="40">
        <v>94.99</v>
      </c>
      <c r="L690" s="41" t="s">
        <v>275</v>
      </c>
      <c r="M690" s="26" t="s">
        <v>274</v>
      </c>
      <c r="N690" s="11"/>
      <c r="O690" s="15"/>
      <c r="P690" s="16"/>
    </row>
    <row r="691" spans="1:16" s="4" customFormat="1" x14ac:dyDescent="0.25">
      <c r="A691" s="62" t="s">
        <v>1696</v>
      </c>
      <c r="B691" s="12">
        <v>9781137384157</v>
      </c>
      <c r="C691" s="13" t="s">
        <v>1244</v>
      </c>
      <c r="D691" s="14" t="str">
        <f>HYPERLINK("http://www.springer.com/gp/book/9781137384157","The Politics of Trade and Tobacco Control")</f>
        <v>The Politics of Trade and Tobacco Control</v>
      </c>
      <c r="E691" s="20"/>
      <c r="F691" s="15" t="s">
        <v>694</v>
      </c>
      <c r="G691" s="16" t="s">
        <v>1525</v>
      </c>
      <c r="H691" s="17">
        <v>2083</v>
      </c>
      <c r="I691" s="37">
        <v>20</v>
      </c>
      <c r="J691" s="59">
        <v>1666</v>
      </c>
      <c r="K691" s="40">
        <v>64.989999999999995</v>
      </c>
      <c r="L691" s="41" t="s">
        <v>275</v>
      </c>
      <c r="M691" s="26" t="s">
        <v>274</v>
      </c>
      <c r="N691" s="11"/>
      <c r="O691" s="15"/>
      <c r="P691" s="16"/>
    </row>
    <row r="692" spans="1:16" s="4" customFormat="1" x14ac:dyDescent="0.25">
      <c r="A692" s="62" t="s">
        <v>1696</v>
      </c>
      <c r="B692" s="12">
        <v>9780230001299</v>
      </c>
      <c r="C692" s="13" t="s">
        <v>1362</v>
      </c>
      <c r="D692" s="14" t="str">
        <f>HYPERLINK("http://www.springer.com/gp/book/9780230001299","The Protection of Minorities in the Wider Europe")</f>
        <v>The Protection of Minorities in the Wider Europe</v>
      </c>
      <c r="E692" s="20"/>
      <c r="F692" s="15" t="s">
        <v>705</v>
      </c>
      <c r="G692" s="16" t="s">
        <v>1525</v>
      </c>
      <c r="H692" s="17">
        <v>3443</v>
      </c>
      <c r="I692" s="37">
        <v>25</v>
      </c>
      <c r="J692" s="59">
        <v>2582</v>
      </c>
      <c r="K692" s="40">
        <v>109.99</v>
      </c>
      <c r="L692" s="41" t="s">
        <v>275</v>
      </c>
      <c r="M692" s="26" t="s">
        <v>274</v>
      </c>
      <c r="N692" s="11"/>
      <c r="O692" s="15"/>
      <c r="P692" s="16"/>
    </row>
    <row r="693" spans="1:16" s="4" customFormat="1" x14ac:dyDescent="0.25">
      <c r="A693" s="62" t="s">
        <v>1696</v>
      </c>
      <c r="B693" s="12">
        <v>9780230607774</v>
      </c>
      <c r="C693" s="13" t="s">
        <v>1328</v>
      </c>
      <c r="D693" s="14" t="str">
        <f>HYPERLINK("http://www.springer.com/gp/book/9780230607774","The Soviet Union")</f>
        <v>The Soviet Union</v>
      </c>
      <c r="E693" s="20" t="s">
        <v>1329</v>
      </c>
      <c r="F693" s="15" t="s">
        <v>705</v>
      </c>
      <c r="G693" s="16" t="s">
        <v>1525</v>
      </c>
      <c r="H693" s="17">
        <v>2817</v>
      </c>
      <c r="I693" s="37">
        <v>25</v>
      </c>
      <c r="J693" s="59">
        <v>2113</v>
      </c>
      <c r="K693" s="40">
        <v>89.99</v>
      </c>
      <c r="L693" s="41" t="s">
        <v>275</v>
      </c>
      <c r="M693" s="26" t="s">
        <v>274</v>
      </c>
      <c r="N693" s="11"/>
      <c r="O693" s="15"/>
      <c r="P693" s="16"/>
    </row>
    <row r="694" spans="1:16" s="4" customFormat="1" x14ac:dyDescent="0.25">
      <c r="A694" s="62" t="s">
        <v>1696</v>
      </c>
      <c r="B694" s="12">
        <v>9781137327833</v>
      </c>
      <c r="C694" s="13" t="s">
        <v>1332</v>
      </c>
      <c r="D694" s="14" t="str">
        <f>HYPERLINK("http://www.springer.com/gp/book/9781137327833","The Struggle for EU Legitimacy")</f>
        <v>The Struggle for EU Legitimacy</v>
      </c>
      <c r="E694" s="20" t="s">
        <v>1333</v>
      </c>
      <c r="F694" s="15" t="s">
        <v>700</v>
      </c>
      <c r="G694" s="16" t="s">
        <v>1525</v>
      </c>
      <c r="H694" s="17">
        <v>2817</v>
      </c>
      <c r="I694" s="37">
        <v>20</v>
      </c>
      <c r="J694" s="59">
        <v>2254</v>
      </c>
      <c r="K694" s="40">
        <v>89.99</v>
      </c>
      <c r="L694" s="41" t="s">
        <v>275</v>
      </c>
      <c r="M694" s="26" t="s">
        <v>274</v>
      </c>
      <c r="N694" s="11"/>
      <c r="O694" s="15"/>
      <c r="P694" s="16"/>
    </row>
    <row r="695" spans="1:16" s="4" customFormat="1" x14ac:dyDescent="0.25">
      <c r="A695" s="62" t="s">
        <v>1696</v>
      </c>
      <c r="B695" s="12">
        <v>9781137365712</v>
      </c>
      <c r="C695" s="13" t="s">
        <v>1279</v>
      </c>
      <c r="D695" s="14" t="str">
        <f>HYPERLINK("http://www.springer.com/gp/book/9781137365712","The Transformation of Global Health Governance")</f>
        <v>The Transformation of Global Health Governance</v>
      </c>
      <c r="E695" s="20"/>
      <c r="F695" s="15" t="s">
        <v>708</v>
      </c>
      <c r="G695" s="16" t="s">
        <v>1525</v>
      </c>
      <c r="H695" s="17">
        <v>2083</v>
      </c>
      <c r="I695" s="37">
        <v>20</v>
      </c>
      <c r="J695" s="59">
        <v>1666</v>
      </c>
      <c r="K695" s="40">
        <v>64.989999999999995</v>
      </c>
      <c r="L695" s="41" t="s">
        <v>275</v>
      </c>
      <c r="M695" s="26" t="s">
        <v>274</v>
      </c>
      <c r="N695" s="11"/>
      <c r="O695" s="15"/>
      <c r="P695" s="16"/>
    </row>
    <row r="696" spans="1:16" s="4" customFormat="1" x14ac:dyDescent="0.25">
      <c r="A696" s="62" t="s">
        <v>1696</v>
      </c>
      <c r="B696" s="22">
        <v>9780230000315</v>
      </c>
      <c r="C696" s="23" t="s">
        <v>365</v>
      </c>
      <c r="D696" s="24" t="s">
        <v>364</v>
      </c>
      <c r="E696" s="23"/>
      <c r="F696" s="25">
        <v>2008</v>
      </c>
      <c r="G696" s="26" t="s">
        <v>1678</v>
      </c>
      <c r="H696" s="27">
        <v>1102</v>
      </c>
      <c r="I696" s="37">
        <v>25</v>
      </c>
      <c r="J696" s="59">
        <v>827</v>
      </c>
      <c r="K696" s="42">
        <v>26.99</v>
      </c>
      <c r="L696" s="43" t="s">
        <v>272</v>
      </c>
      <c r="M696" s="26" t="s">
        <v>273</v>
      </c>
      <c r="N696" s="21"/>
      <c r="O696" s="25">
        <v>224</v>
      </c>
      <c r="P696" s="28" t="s">
        <v>366</v>
      </c>
    </row>
    <row r="697" spans="1:16" s="4" customFormat="1" x14ac:dyDescent="0.25">
      <c r="A697" s="63" t="s">
        <v>1696</v>
      </c>
      <c r="B697" s="22">
        <v>9780230221857</v>
      </c>
      <c r="C697" s="23" t="s">
        <v>573</v>
      </c>
      <c r="D697" s="24" t="s">
        <v>572</v>
      </c>
      <c r="E697" s="23"/>
      <c r="F697" s="25">
        <v>2011</v>
      </c>
      <c r="G697" s="26" t="s">
        <v>1678</v>
      </c>
      <c r="H697" s="27">
        <v>1224</v>
      </c>
      <c r="I697" s="37">
        <v>25</v>
      </c>
      <c r="J697" s="59">
        <v>918</v>
      </c>
      <c r="K697" s="42">
        <v>29.99</v>
      </c>
      <c r="L697" s="43" t="s">
        <v>272</v>
      </c>
      <c r="M697" s="26" t="s">
        <v>273</v>
      </c>
      <c r="N697" s="21"/>
      <c r="O697" s="25">
        <v>248</v>
      </c>
      <c r="P697" s="28" t="s">
        <v>574</v>
      </c>
    </row>
    <row r="698" spans="1:16" s="4" customFormat="1" x14ac:dyDescent="0.25">
      <c r="A698" s="62" t="s">
        <v>1696</v>
      </c>
      <c r="B698" s="12">
        <v>9780230285255</v>
      </c>
      <c r="C698" s="13" t="s">
        <v>1502</v>
      </c>
      <c r="D698" s="14" t="str">
        <f>HYPERLINK("http://www.springer.com/gp/book/9780230285255","The Welfare State as Crisis Manager")</f>
        <v>The Welfare State as Crisis Manager</v>
      </c>
      <c r="E698" s="20" t="s">
        <v>1503</v>
      </c>
      <c r="F698" s="15" t="s">
        <v>700</v>
      </c>
      <c r="G698" s="16" t="s">
        <v>1525</v>
      </c>
      <c r="H698" s="17">
        <v>2563</v>
      </c>
      <c r="I698" s="37">
        <v>20</v>
      </c>
      <c r="J698" s="59">
        <v>2050</v>
      </c>
      <c r="K698" s="40">
        <v>79.989999999999995</v>
      </c>
      <c r="L698" s="41" t="s">
        <v>275</v>
      </c>
      <c r="M698" s="26" t="s">
        <v>274</v>
      </c>
      <c r="N698" s="11"/>
      <c r="O698" s="15"/>
      <c r="P698" s="16"/>
    </row>
    <row r="699" spans="1:16" s="4" customFormat="1" x14ac:dyDescent="0.25">
      <c r="A699" s="62" t="s">
        <v>1696</v>
      </c>
      <c r="B699" s="22">
        <v>9780230577336</v>
      </c>
      <c r="C699" s="23" t="s">
        <v>174</v>
      </c>
      <c r="D699" s="24" t="s">
        <v>175</v>
      </c>
      <c r="E699" s="23"/>
      <c r="F699" s="25">
        <v>2010</v>
      </c>
      <c r="G699" s="26" t="s">
        <v>1678</v>
      </c>
      <c r="H699" s="27">
        <v>1143</v>
      </c>
      <c r="I699" s="37">
        <v>25</v>
      </c>
      <c r="J699" s="59">
        <v>857</v>
      </c>
      <c r="K699" s="42">
        <v>27.99</v>
      </c>
      <c r="L699" s="43" t="s">
        <v>272</v>
      </c>
      <c r="M699" s="26" t="s">
        <v>273</v>
      </c>
      <c r="N699" s="21" t="s">
        <v>1679</v>
      </c>
      <c r="O699" s="25">
        <v>288</v>
      </c>
      <c r="P699" s="28" t="s">
        <v>378</v>
      </c>
    </row>
    <row r="700" spans="1:16" s="4" customFormat="1" x14ac:dyDescent="0.25">
      <c r="A700" s="62" t="s">
        <v>1696</v>
      </c>
      <c r="B700" s="22">
        <v>9780333386989</v>
      </c>
      <c r="C700" s="23" t="s">
        <v>338</v>
      </c>
      <c r="D700" s="24" t="s">
        <v>337</v>
      </c>
      <c r="E700" s="23"/>
      <c r="F700" s="25">
        <v>1987</v>
      </c>
      <c r="G700" s="26" t="s">
        <v>1678</v>
      </c>
      <c r="H700" s="27">
        <v>1388</v>
      </c>
      <c r="I700" s="38">
        <v>30</v>
      </c>
      <c r="J700" s="59">
        <v>972</v>
      </c>
      <c r="K700" s="42">
        <v>33.99</v>
      </c>
      <c r="L700" s="43" t="s">
        <v>272</v>
      </c>
      <c r="M700" s="26" t="s">
        <v>273</v>
      </c>
      <c r="N700" s="21"/>
      <c r="O700" s="25">
        <v>400</v>
      </c>
      <c r="P700" s="28" t="s">
        <v>339</v>
      </c>
    </row>
    <row r="701" spans="1:16" s="4" customFormat="1" x14ac:dyDescent="0.25">
      <c r="A701" s="62" t="s">
        <v>1696</v>
      </c>
      <c r="B701" s="12">
        <v>9780230223691</v>
      </c>
      <c r="C701" s="13" t="s">
        <v>1245</v>
      </c>
      <c r="D701" s="14" t="str">
        <f>HYPERLINK("http://www.springer.com/gp/book/9780230223691","Times of Terror")</f>
        <v>Times of Terror</v>
      </c>
      <c r="E701" s="20" t="s">
        <v>1246</v>
      </c>
      <c r="F701" s="15" t="s">
        <v>696</v>
      </c>
      <c r="G701" s="16" t="s">
        <v>1525</v>
      </c>
      <c r="H701" s="17">
        <v>3130</v>
      </c>
      <c r="I701" s="37">
        <v>25</v>
      </c>
      <c r="J701" s="59">
        <v>2348</v>
      </c>
      <c r="K701" s="40">
        <v>99.99</v>
      </c>
      <c r="L701" s="41" t="s">
        <v>275</v>
      </c>
      <c r="M701" s="26" t="s">
        <v>274</v>
      </c>
      <c r="N701" s="11"/>
      <c r="O701" s="15"/>
      <c r="P701" s="16"/>
    </row>
    <row r="702" spans="1:16" s="4" customFormat="1" x14ac:dyDescent="0.25">
      <c r="A702" s="62" t="s">
        <v>1696</v>
      </c>
      <c r="B702" s="12">
        <v>9780230001824</v>
      </c>
      <c r="C702" s="13" t="s">
        <v>1520</v>
      </c>
      <c r="D702" s="14" t="str">
        <f>HYPERLINK("http://www.springer.com/gp/book/9780230001824","Torture and the Military Profession")</f>
        <v>Torture and the Military Profession</v>
      </c>
      <c r="E702" s="20"/>
      <c r="F702" s="15" t="s">
        <v>729</v>
      </c>
      <c r="G702" s="16" t="s">
        <v>1525</v>
      </c>
      <c r="H702" s="17">
        <v>3443</v>
      </c>
      <c r="I702" s="38">
        <v>30</v>
      </c>
      <c r="J702" s="59">
        <v>2410</v>
      </c>
      <c r="K702" s="40">
        <v>109.99</v>
      </c>
      <c r="L702" s="41" t="s">
        <v>275</v>
      </c>
      <c r="M702" s="26" t="s">
        <v>274</v>
      </c>
      <c r="N702" s="11"/>
      <c r="O702" s="15"/>
      <c r="P702" s="16"/>
    </row>
    <row r="703" spans="1:16" s="4" customFormat="1" x14ac:dyDescent="0.25">
      <c r="A703" s="62" t="s">
        <v>1696</v>
      </c>
      <c r="B703" s="12">
        <v>9780230617438</v>
      </c>
      <c r="C703" s="13" t="s">
        <v>1321</v>
      </c>
      <c r="D703" s="14" t="str">
        <f>HYPERLINK("http://www.springer.com/gp/book/9780230617438","Toward a New Public Diplomacy")</f>
        <v>Toward a New Public Diplomacy</v>
      </c>
      <c r="E703" s="20" t="s">
        <v>1322</v>
      </c>
      <c r="F703" s="15" t="s">
        <v>696</v>
      </c>
      <c r="G703" s="16" t="s">
        <v>1525</v>
      </c>
      <c r="H703" s="17">
        <v>3443</v>
      </c>
      <c r="I703" s="37">
        <v>25</v>
      </c>
      <c r="J703" s="59">
        <v>2582</v>
      </c>
      <c r="K703" s="40">
        <v>109.99</v>
      </c>
      <c r="L703" s="41" t="s">
        <v>275</v>
      </c>
      <c r="M703" s="26" t="s">
        <v>274</v>
      </c>
      <c r="N703" s="11"/>
      <c r="O703" s="15"/>
      <c r="P703" s="16"/>
    </row>
    <row r="704" spans="1:16" s="4" customFormat="1" x14ac:dyDescent="0.25">
      <c r="A704" s="62" t="s">
        <v>1696</v>
      </c>
      <c r="B704" s="12">
        <v>9780230619975</v>
      </c>
      <c r="C704" s="13" t="s">
        <v>1337</v>
      </c>
      <c r="D704" s="14" t="str">
        <f>HYPERLINK("http://www.springer.com/gp/book/9780230619975","U.S. Strategy Against Global Terrorism")</f>
        <v>U.S. Strategy Against Global Terrorism</v>
      </c>
      <c r="E704" s="20" t="s">
        <v>1338</v>
      </c>
      <c r="F704" s="15" t="s">
        <v>696</v>
      </c>
      <c r="G704" s="16" t="s">
        <v>1525</v>
      </c>
      <c r="H704" s="17">
        <v>3130</v>
      </c>
      <c r="I704" s="37">
        <v>25</v>
      </c>
      <c r="J704" s="59">
        <v>2348</v>
      </c>
      <c r="K704" s="40">
        <v>99.99</v>
      </c>
      <c r="L704" s="41" t="s">
        <v>275</v>
      </c>
      <c r="M704" s="26" t="s">
        <v>274</v>
      </c>
      <c r="N704" s="11"/>
      <c r="O704" s="15"/>
      <c r="P704" s="16"/>
    </row>
    <row r="705" spans="1:17" s="4" customFormat="1" x14ac:dyDescent="0.25">
      <c r="A705" s="62" t="s">
        <v>1696</v>
      </c>
      <c r="B705" s="12">
        <v>9781137339188</v>
      </c>
      <c r="C705" s="13" t="s">
        <v>1363</v>
      </c>
      <c r="D705" s="14" t="str">
        <f>HYPERLINK("http://www.springer.com/gp/book/9781137339188","Unbroken Government")</f>
        <v>Unbroken Government</v>
      </c>
      <c r="E705" s="20" t="s">
        <v>1364</v>
      </c>
      <c r="F705" s="15" t="s">
        <v>700</v>
      </c>
      <c r="G705" s="16" t="s">
        <v>1525</v>
      </c>
      <c r="H705" s="17">
        <v>2563</v>
      </c>
      <c r="I705" s="37">
        <v>20</v>
      </c>
      <c r="J705" s="59">
        <v>2050</v>
      </c>
      <c r="K705" s="40">
        <v>79.989999999999995</v>
      </c>
      <c r="L705" s="41" t="s">
        <v>275</v>
      </c>
      <c r="M705" s="26" t="s">
        <v>274</v>
      </c>
      <c r="N705" s="11"/>
      <c r="O705" s="15"/>
      <c r="P705" s="16"/>
    </row>
    <row r="706" spans="1:17" s="4" customFormat="1" x14ac:dyDescent="0.25">
      <c r="A706" s="62" t="s">
        <v>1696</v>
      </c>
      <c r="B706" s="22">
        <v>9780230239753</v>
      </c>
      <c r="C706" s="23" t="s">
        <v>386</v>
      </c>
      <c r="D706" s="24" t="s">
        <v>385</v>
      </c>
      <c r="E706" s="23"/>
      <c r="F706" s="25">
        <v>2010</v>
      </c>
      <c r="G706" s="26" t="s">
        <v>1678</v>
      </c>
      <c r="H706" s="27">
        <v>1224</v>
      </c>
      <c r="I706" s="37">
        <v>25</v>
      </c>
      <c r="J706" s="59">
        <v>918</v>
      </c>
      <c r="K706" s="42">
        <v>29.99</v>
      </c>
      <c r="L706" s="43" t="s">
        <v>272</v>
      </c>
      <c r="M706" s="26" t="s">
        <v>273</v>
      </c>
      <c r="N706" s="21"/>
      <c r="O706" s="25">
        <v>288</v>
      </c>
      <c r="P706" s="28" t="s">
        <v>387</v>
      </c>
    </row>
    <row r="707" spans="1:17" s="4" customFormat="1" x14ac:dyDescent="0.25">
      <c r="A707" s="62" t="s">
        <v>1696</v>
      </c>
      <c r="B707" s="29">
        <v>9780230298835</v>
      </c>
      <c r="C707" s="30" t="s">
        <v>259</v>
      </c>
      <c r="D707" s="31" t="s">
        <v>1544</v>
      </c>
      <c r="E707" s="30" t="s">
        <v>1543</v>
      </c>
      <c r="F707" s="32">
        <v>2011</v>
      </c>
      <c r="G707" s="19" t="s">
        <v>4</v>
      </c>
      <c r="H707" s="33">
        <v>1061</v>
      </c>
      <c r="I707" s="37">
        <v>25</v>
      </c>
      <c r="J707" s="59">
        <v>796</v>
      </c>
      <c r="K707" s="44">
        <v>25.99</v>
      </c>
      <c r="L707" s="45" t="s">
        <v>272</v>
      </c>
      <c r="M707" s="19" t="s">
        <v>273</v>
      </c>
      <c r="N707" s="21" t="s">
        <v>1682</v>
      </c>
      <c r="O707" s="18">
        <v>264</v>
      </c>
      <c r="P707" s="19" t="s">
        <v>1545</v>
      </c>
    </row>
    <row r="708" spans="1:17" s="4" customFormat="1" x14ac:dyDescent="0.25">
      <c r="A708" s="62" t="s">
        <v>1696</v>
      </c>
      <c r="B708" s="22">
        <v>9781137362322</v>
      </c>
      <c r="C708" s="23" t="s">
        <v>181</v>
      </c>
      <c r="D708" s="24" t="s">
        <v>548</v>
      </c>
      <c r="E708" s="23"/>
      <c r="F708" s="25">
        <v>2014</v>
      </c>
      <c r="G708" s="26" t="s">
        <v>1678</v>
      </c>
      <c r="H708" s="27">
        <v>1143</v>
      </c>
      <c r="I708" s="37">
        <v>20</v>
      </c>
      <c r="J708" s="59">
        <v>914</v>
      </c>
      <c r="K708" s="42">
        <v>27.99</v>
      </c>
      <c r="L708" s="43" t="s">
        <v>272</v>
      </c>
      <c r="M708" s="26" t="s">
        <v>273</v>
      </c>
      <c r="N708" s="21" t="s">
        <v>1683</v>
      </c>
      <c r="O708" s="25">
        <v>276</v>
      </c>
      <c r="P708" s="28" t="s">
        <v>549</v>
      </c>
    </row>
    <row r="709" spans="1:17" s="4" customFormat="1" x14ac:dyDescent="0.25">
      <c r="A709" s="62" t="s">
        <v>1696</v>
      </c>
      <c r="B709" s="12">
        <v>9780230537705</v>
      </c>
      <c r="C709" s="13" t="s">
        <v>1180</v>
      </c>
      <c r="D709" s="14" t="str">
        <f>HYPERLINK("http://www.springer.com/gp/book/9780230537705","Violence: A Philosophical Anthology")</f>
        <v>Violence: A Philosophical Anthology</v>
      </c>
      <c r="E709" s="20"/>
      <c r="F709" s="15" t="s">
        <v>696</v>
      </c>
      <c r="G709" s="16" t="s">
        <v>1525</v>
      </c>
      <c r="H709" s="17">
        <v>3912</v>
      </c>
      <c r="I709" s="37">
        <v>25</v>
      </c>
      <c r="J709" s="59">
        <v>2934</v>
      </c>
      <c r="K709" s="40">
        <v>124.99</v>
      </c>
      <c r="L709" s="41" t="s">
        <v>275</v>
      </c>
      <c r="M709" s="26" t="s">
        <v>274</v>
      </c>
      <c r="N709" s="11"/>
      <c r="O709" s="15"/>
      <c r="P709" s="16"/>
    </row>
    <row r="710" spans="1:17" s="4" customFormat="1" x14ac:dyDescent="0.25">
      <c r="A710" s="62" t="s">
        <v>1696</v>
      </c>
      <c r="B710" s="12">
        <v>9781137020390</v>
      </c>
      <c r="C710" s="13" t="s">
        <v>1286</v>
      </c>
      <c r="D710" s="14" t="str">
        <f>HYPERLINK("http://www.springer.com/gp/book/9781137020390","Visual Peace")</f>
        <v>Visual Peace</v>
      </c>
      <c r="E710" s="20" t="s">
        <v>1287</v>
      </c>
      <c r="F710" s="15" t="s">
        <v>700</v>
      </c>
      <c r="G710" s="16" t="s">
        <v>1525</v>
      </c>
      <c r="H710" s="17">
        <v>3130</v>
      </c>
      <c r="I710" s="37">
        <v>20</v>
      </c>
      <c r="J710" s="59">
        <v>2504</v>
      </c>
      <c r="K710" s="40">
        <v>99.99</v>
      </c>
      <c r="L710" s="41" t="s">
        <v>275</v>
      </c>
      <c r="M710" s="26" t="s">
        <v>274</v>
      </c>
      <c r="N710" s="11"/>
      <c r="O710" s="15"/>
      <c r="P710" s="16"/>
    </row>
    <row r="711" spans="1:17" s="4" customFormat="1" x14ac:dyDescent="0.25">
      <c r="A711" s="62" t="s">
        <v>1696</v>
      </c>
      <c r="B711" s="12">
        <v>9781137270429</v>
      </c>
      <c r="C711" s="13" t="s">
        <v>1167</v>
      </c>
      <c r="D711" s="14" t="str">
        <f>HYPERLINK("http://www.springer.com/gp/book/9781137270429","Watching the Watchers")</f>
        <v>Watching the Watchers</v>
      </c>
      <c r="E711" s="20" t="s">
        <v>1168</v>
      </c>
      <c r="F711" s="15" t="s">
        <v>708</v>
      </c>
      <c r="G711" s="16" t="s">
        <v>1525</v>
      </c>
      <c r="H711" s="17">
        <v>3130</v>
      </c>
      <c r="I711" s="37">
        <v>20</v>
      </c>
      <c r="J711" s="59">
        <v>2504</v>
      </c>
      <c r="K711" s="40">
        <v>99.99</v>
      </c>
      <c r="L711" s="41" t="s">
        <v>275</v>
      </c>
      <c r="M711" s="26" t="s">
        <v>274</v>
      </c>
      <c r="N711" s="11"/>
      <c r="O711" s="15"/>
      <c r="P711" s="16"/>
    </row>
    <row r="712" spans="1:17" s="4" customFormat="1" x14ac:dyDescent="0.25">
      <c r="A712" s="62" t="s">
        <v>1696</v>
      </c>
      <c r="B712" s="12">
        <v>9781137574886</v>
      </c>
      <c r="C712" s="13" t="s">
        <v>1205</v>
      </c>
      <c r="D712" s="14" t="str">
        <f>HYPERLINK("http://www.springer.com/gp/book/9781137574886","Which Europe?")</f>
        <v>Which Europe?</v>
      </c>
      <c r="E712" s="20" t="s">
        <v>1206</v>
      </c>
      <c r="F712" s="15" t="s">
        <v>688</v>
      </c>
      <c r="G712" s="16" t="s">
        <v>1525</v>
      </c>
      <c r="H712" s="17">
        <v>1121</v>
      </c>
      <c r="I712" s="37">
        <v>25</v>
      </c>
      <c r="J712" s="59">
        <v>841</v>
      </c>
      <c r="K712" s="40">
        <v>34.99</v>
      </c>
      <c r="L712" s="41" t="s">
        <v>275</v>
      </c>
      <c r="M712" s="19" t="s">
        <v>273</v>
      </c>
      <c r="N712" s="11"/>
      <c r="O712" s="15"/>
      <c r="P712" s="16"/>
    </row>
    <row r="713" spans="1:17" s="4" customFormat="1" x14ac:dyDescent="0.25">
      <c r="A713" s="62" t="s">
        <v>1696</v>
      </c>
      <c r="B713" s="12">
        <v>9781137355157</v>
      </c>
      <c r="C713" s="13" t="s">
        <v>1334</v>
      </c>
      <c r="D713" s="14" t="str">
        <f>HYPERLINK("http://www.springer.com/gp/book/9781137355157","Women, Employment and the Family in the International Division of Labour")</f>
        <v>Women, Employment and the Family in the International Division of Labour</v>
      </c>
      <c r="E713" s="20"/>
      <c r="F713" s="15" t="s">
        <v>700</v>
      </c>
      <c r="G713" s="16" t="s">
        <v>1525</v>
      </c>
      <c r="H713" s="17">
        <v>961</v>
      </c>
      <c r="I713" s="37">
        <v>20</v>
      </c>
      <c r="J713" s="59">
        <v>769</v>
      </c>
      <c r="K713" s="40">
        <v>29.99</v>
      </c>
      <c r="L713" s="41" t="s">
        <v>275</v>
      </c>
      <c r="M713" s="19" t="s">
        <v>273</v>
      </c>
      <c r="N713" s="11"/>
      <c r="O713" s="15"/>
      <c r="P713" s="16"/>
    </row>
    <row r="714" spans="1:17" s="4" customFormat="1" x14ac:dyDescent="0.25">
      <c r="A714" s="64" t="s">
        <v>15</v>
      </c>
      <c r="B714" s="22">
        <v>9780230249455</v>
      </c>
      <c r="C714" s="23" t="s">
        <v>611</v>
      </c>
      <c r="D714" s="24" t="s">
        <v>6</v>
      </c>
      <c r="E714" s="23"/>
      <c r="F714" s="25">
        <v>2010</v>
      </c>
      <c r="G714" s="26" t="s">
        <v>1678</v>
      </c>
      <c r="H714" s="27">
        <v>543</v>
      </c>
      <c r="I714" s="37">
        <v>25</v>
      </c>
      <c r="J714" s="59">
        <v>407</v>
      </c>
      <c r="K714" s="42">
        <v>12.99</v>
      </c>
      <c r="L714" s="43" t="s">
        <v>272</v>
      </c>
      <c r="M714" s="26" t="s">
        <v>273</v>
      </c>
      <c r="N714" s="21"/>
      <c r="O714" s="25">
        <v>200</v>
      </c>
      <c r="P714" s="28" t="s">
        <v>612</v>
      </c>
    </row>
    <row r="715" spans="1:17" s="4" customFormat="1" x14ac:dyDescent="0.25">
      <c r="A715" s="64" t="s">
        <v>15</v>
      </c>
      <c r="B715" s="29">
        <v>9781137278319</v>
      </c>
      <c r="C715" s="30" t="s">
        <v>30</v>
      </c>
      <c r="D715" s="31" t="s">
        <v>78</v>
      </c>
      <c r="E715" s="30" t="s">
        <v>1617</v>
      </c>
      <c r="F715" s="32">
        <v>2013</v>
      </c>
      <c r="G715" s="19" t="s">
        <v>4</v>
      </c>
      <c r="H715" s="33">
        <v>459</v>
      </c>
      <c r="I715" s="37">
        <v>20</v>
      </c>
      <c r="J715" s="59">
        <v>367</v>
      </c>
      <c r="K715" s="44">
        <v>10.99</v>
      </c>
      <c r="L715" s="45" t="s">
        <v>272</v>
      </c>
      <c r="M715" s="19" t="s">
        <v>273</v>
      </c>
      <c r="N715" s="29"/>
      <c r="O715" s="18">
        <v>256</v>
      </c>
      <c r="P715" s="19" t="s">
        <v>1618</v>
      </c>
    </row>
    <row r="716" spans="1:17" s="4" customFormat="1" x14ac:dyDescent="0.25">
      <c r="A716" s="62" t="s">
        <v>15</v>
      </c>
      <c r="B716" s="12">
        <v>9781137333438</v>
      </c>
      <c r="C716" s="13" t="s">
        <v>1384</v>
      </c>
      <c r="D716" s="14" t="str">
        <f>HYPERLINK("http://www.springer.com/gp/book/9781137333438","Narcissism and Its Discontents")</f>
        <v>Narcissism and Its Discontents</v>
      </c>
      <c r="E716" s="20"/>
      <c r="F716" s="15" t="s">
        <v>694</v>
      </c>
      <c r="G716" s="16" t="s">
        <v>1525</v>
      </c>
      <c r="H716" s="17">
        <v>2563</v>
      </c>
      <c r="I716" s="37">
        <v>20</v>
      </c>
      <c r="J716" s="59">
        <v>2050</v>
      </c>
      <c r="K716" s="40">
        <v>79.989999999999995</v>
      </c>
      <c r="L716" s="41" t="s">
        <v>275</v>
      </c>
      <c r="M716" s="26" t="s">
        <v>274</v>
      </c>
      <c r="N716" s="11"/>
      <c r="O716" s="15"/>
      <c r="P716" s="16"/>
    </row>
    <row r="717" spans="1:17" s="4" customFormat="1" ht="18.75" x14ac:dyDescent="0.25">
      <c r="A717" s="62" t="s">
        <v>15</v>
      </c>
      <c r="B717" s="12">
        <v>9781137286727</v>
      </c>
      <c r="C717" s="13" t="s">
        <v>1383</v>
      </c>
      <c r="D717" s="14" t="str">
        <f>HYPERLINK("http://www.springer.com/gp/book/9781137286727","New Waves in Philosophy of Mind")</f>
        <v>New Waves in Philosophy of Mind</v>
      </c>
      <c r="E717" s="20"/>
      <c r="F717" s="15" t="s">
        <v>708</v>
      </c>
      <c r="G717" s="16" t="s">
        <v>1525</v>
      </c>
      <c r="H717" s="17">
        <v>961</v>
      </c>
      <c r="I717" s="37">
        <v>20</v>
      </c>
      <c r="J717" s="59">
        <v>769</v>
      </c>
      <c r="K717" s="40">
        <v>29.99</v>
      </c>
      <c r="L717" s="41" t="s">
        <v>275</v>
      </c>
      <c r="M717" s="19" t="s">
        <v>273</v>
      </c>
      <c r="N717" s="11"/>
      <c r="O717" s="15"/>
      <c r="P717" s="16"/>
      <c r="Q717" s="2"/>
    </row>
    <row r="718" spans="1:17" s="4" customFormat="1" x14ac:dyDescent="0.25">
      <c r="A718" s="63" t="s">
        <v>15</v>
      </c>
      <c r="B718" s="12">
        <v>9781137305022</v>
      </c>
      <c r="C718" s="13" t="s">
        <v>1096</v>
      </c>
      <c r="D718" s="14" t="str">
        <f>HYPERLINK("http://www.springer.com/gp/book/9781137305022","Passivity Generation")</f>
        <v>Passivity Generation</v>
      </c>
      <c r="E718" s="20" t="s">
        <v>1097</v>
      </c>
      <c r="F718" s="15" t="s">
        <v>700</v>
      </c>
      <c r="G718" s="16" t="s">
        <v>1525</v>
      </c>
      <c r="H718" s="17">
        <v>2563</v>
      </c>
      <c r="I718" s="37">
        <v>20</v>
      </c>
      <c r="J718" s="59">
        <v>2050</v>
      </c>
      <c r="K718" s="40">
        <v>79.989999999999995</v>
      </c>
      <c r="L718" s="41" t="s">
        <v>275</v>
      </c>
      <c r="M718" s="26" t="s">
        <v>274</v>
      </c>
      <c r="N718" s="11"/>
      <c r="O718" s="15"/>
      <c r="P718" s="16"/>
    </row>
    <row r="719" spans="1:17" s="4" customFormat="1" x14ac:dyDescent="0.25">
      <c r="A719" s="64" t="s">
        <v>15</v>
      </c>
      <c r="B719" s="29">
        <v>9781429200820</v>
      </c>
      <c r="C719" s="30" t="s">
        <v>18</v>
      </c>
      <c r="D719" s="31" t="s">
        <v>15</v>
      </c>
      <c r="E719" s="30" t="s">
        <v>1543</v>
      </c>
      <c r="F719" s="32">
        <v>2008</v>
      </c>
      <c r="G719" s="19" t="s">
        <v>194</v>
      </c>
      <c r="H719" s="33">
        <v>1183</v>
      </c>
      <c r="I719" s="37">
        <v>25</v>
      </c>
      <c r="J719" s="59">
        <v>887</v>
      </c>
      <c r="K719" s="44">
        <v>28.99</v>
      </c>
      <c r="L719" s="45" t="s">
        <v>272</v>
      </c>
      <c r="M719" s="19" t="s">
        <v>273</v>
      </c>
      <c r="N719" s="21" t="s">
        <v>1679</v>
      </c>
      <c r="O719" s="18">
        <v>332</v>
      </c>
      <c r="P719" s="19" t="s">
        <v>1660</v>
      </c>
    </row>
    <row r="720" spans="1:17" s="4" customFormat="1" x14ac:dyDescent="0.25">
      <c r="A720" s="64" t="s">
        <v>15</v>
      </c>
      <c r="B720" s="29">
        <v>9780716752158</v>
      </c>
      <c r="C720" s="30" t="s">
        <v>16</v>
      </c>
      <c r="D720" s="31" t="s">
        <v>15</v>
      </c>
      <c r="E720" s="30"/>
      <c r="F720" s="32">
        <v>2009</v>
      </c>
      <c r="G720" s="19" t="s">
        <v>194</v>
      </c>
      <c r="H720" s="33">
        <v>1592</v>
      </c>
      <c r="I720" s="37">
        <v>25</v>
      </c>
      <c r="J720" s="59">
        <v>1194</v>
      </c>
      <c r="K720" s="44">
        <v>38.99</v>
      </c>
      <c r="L720" s="45" t="s">
        <v>272</v>
      </c>
      <c r="M720" s="19" t="s">
        <v>274</v>
      </c>
      <c r="N720" s="29"/>
      <c r="O720" s="18">
        <v>700</v>
      </c>
      <c r="P720" s="19" t="s">
        <v>1589</v>
      </c>
    </row>
    <row r="721" spans="1:17" s="4" customFormat="1" x14ac:dyDescent="0.25">
      <c r="A721" s="64" t="s">
        <v>15</v>
      </c>
      <c r="B721" s="29">
        <v>9781429236997</v>
      </c>
      <c r="C721" s="30" t="s">
        <v>17</v>
      </c>
      <c r="D721" s="31" t="s">
        <v>15</v>
      </c>
      <c r="E721" s="30"/>
      <c r="F721" s="32">
        <v>2009</v>
      </c>
      <c r="G721" s="19" t="s">
        <v>29</v>
      </c>
      <c r="H721" s="33">
        <v>1796</v>
      </c>
      <c r="I721" s="37">
        <v>25</v>
      </c>
      <c r="J721" s="59">
        <v>1347</v>
      </c>
      <c r="K721" s="44">
        <v>43.99</v>
      </c>
      <c r="L721" s="45" t="s">
        <v>272</v>
      </c>
      <c r="M721" s="19" t="s">
        <v>273</v>
      </c>
      <c r="N721" s="21" t="s">
        <v>1686</v>
      </c>
      <c r="O721" s="18">
        <v>928</v>
      </c>
      <c r="P721" s="19" t="s">
        <v>1667</v>
      </c>
    </row>
    <row r="722" spans="1:17" s="4" customFormat="1" x14ac:dyDescent="0.25">
      <c r="A722" s="62" t="s">
        <v>15</v>
      </c>
      <c r="B722" s="12">
        <v>9780230621114</v>
      </c>
      <c r="C722" s="13" t="s">
        <v>1381</v>
      </c>
      <c r="D722" s="14" t="str">
        <f>HYPERLINK("http://www.springer.com/gp/book/9780230621114","Radical Pedagogy")</f>
        <v>Radical Pedagogy</v>
      </c>
      <c r="E722" s="20" t="s">
        <v>1382</v>
      </c>
      <c r="F722" s="15" t="s">
        <v>917</v>
      </c>
      <c r="G722" s="16" t="s">
        <v>1525</v>
      </c>
      <c r="H722" s="17">
        <v>1121</v>
      </c>
      <c r="I722" s="38">
        <v>30</v>
      </c>
      <c r="J722" s="59">
        <v>785</v>
      </c>
      <c r="K722" s="40">
        <v>34.99</v>
      </c>
      <c r="L722" s="41" t="s">
        <v>275</v>
      </c>
      <c r="M722" s="19" t="s">
        <v>273</v>
      </c>
      <c r="N722" s="11"/>
      <c r="O722" s="15"/>
      <c r="P722" s="16"/>
    </row>
    <row r="723" spans="1:17" s="4" customFormat="1" x14ac:dyDescent="0.25">
      <c r="A723" s="63" t="s">
        <v>15</v>
      </c>
      <c r="B723" s="22">
        <v>9780230218031</v>
      </c>
      <c r="C723" s="23" t="s">
        <v>465</v>
      </c>
      <c r="D723" s="24" t="s">
        <v>124</v>
      </c>
      <c r="E723" s="23"/>
      <c r="F723" s="25">
        <v>2013</v>
      </c>
      <c r="G723" s="26" t="s">
        <v>1678</v>
      </c>
      <c r="H723" s="27">
        <v>1877</v>
      </c>
      <c r="I723" s="37">
        <v>20</v>
      </c>
      <c r="J723" s="59">
        <v>1502</v>
      </c>
      <c r="K723" s="42">
        <v>45.99</v>
      </c>
      <c r="L723" s="43" t="s">
        <v>272</v>
      </c>
      <c r="M723" s="26" t="s">
        <v>273</v>
      </c>
      <c r="N723" s="21"/>
      <c r="O723" s="25">
        <v>832</v>
      </c>
      <c r="P723" s="28" t="s">
        <v>466</v>
      </c>
    </row>
    <row r="724" spans="1:17" s="4" customFormat="1" x14ac:dyDescent="0.25">
      <c r="A724" s="64" t="s">
        <v>15</v>
      </c>
      <c r="B724" s="34">
        <v>9780716760726</v>
      </c>
      <c r="C724" s="23" t="s">
        <v>291</v>
      </c>
      <c r="D724" s="24" t="s">
        <v>292</v>
      </c>
      <c r="E724" s="23"/>
      <c r="F724" s="25">
        <v>2008</v>
      </c>
      <c r="G724" s="26" t="s">
        <v>29</v>
      </c>
      <c r="H724" s="27">
        <v>2000</v>
      </c>
      <c r="I724" s="37">
        <v>25</v>
      </c>
      <c r="J724" s="59">
        <v>1500</v>
      </c>
      <c r="K724" s="42">
        <v>48.99</v>
      </c>
      <c r="L724" s="45" t="s">
        <v>272</v>
      </c>
      <c r="M724" s="19" t="s">
        <v>274</v>
      </c>
      <c r="N724" s="21" t="s">
        <v>1684</v>
      </c>
      <c r="O724" s="35">
        <v>667</v>
      </c>
      <c r="P724" s="19" t="s">
        <v>1590</v>
      </c>
    </row>
    <row r="725" spans="1:17" s="4" customFormat="1" x14ac:dyDescent="0.25">
      <c r="A725" s="62" t="s">
        <v>15</v>
      </c>
      <c r="B725" s="12">
        <v>9781137333520</v>
      </c>
      <c r="C725" s="13" t="s">
        <v>1380</v>
      </c>
      <c r="D725" s="14" t="str">
        <f>HYPERLINK("http://www.springer.com/gp/book/9781137333520","The Ethics of Creativity")</f>
        <v>The Ethics of Creativity</v>
      </c>
      <c r="E725" s="20"/>
      <c r="F725" s="15" t="s">
        <v>708</v>
      </c>
      <c r="G725" s="16" t="s">
        <v>1525</v>
      </c>
      <c r="H725" s="17">
        <v>1121</v>
      </c>
      <c r="I725" s="37">
        <v>20</v>
      </c>
      <c r="J725" s="59">
        <v>897</v>
      </c>
      <c r="K725" s="40">
        <v>34.99</v>
      </c>
      <c r="L725" s="41" t="s">
        <v>275</v>
      </c>
      <c r="M725" s="19" t="s">
        <v>273</v>
      </c>
      <c r="N725" s="11"/>
      <c r="O725" s="15"/>
      <c r="P725" s="16"/>
    </row>
    <row r="726" spans="1:17" s="4" customFormat="1" x14ac:dyDescent="0.25">
      <c r="A726" s="64" t="s">
        <v>15</v>
      </c>
      <c r="B726" s="22">
        <v>9781403942173</v>
      </c>
      <c r="C726" s="23" t="s">
        <v>609</v>
      </c>
      <c r="D726" s="24" t="s">
        <v>22</v>
      </c>
      <c r="E726" s="23"/>
      <c r="F726" s="25">
        <v>2006</v>
      </c>
      <c r="G726" s="26" t="s">
        <v>1678</v>
      </c>
      <c r="H726" s="27">
        <v>1265</v>
      </c>
      <c r="I726" s="38">
        <v>30</v>
      </c>
      <c r="J726" s="59">
        <v>886</v>
      </c>
      <c r="K726" s="42">
        <v>30.99</v>
      </c>
      <c r="L726" s="43" t="s">
        <v>272</v>
      </c>
      <c r="M726" s="26" t="s">
        <v>273</v>
      </c>
      <c r="N726" s="21" t="s">
        <v>1679</v>
      </c>
      <c r="O726" s="25">
        <v>432</v>
      </c>
      <c r="P726" s="28" t="s">
        <v>610</v>
      </c>
    </row>
    <row r="727" spans="1:17" s="4" customFormat="1" x14ac:dyDescent="0.25">
      <c r="A727" s="63" t="s">
        <v>15</v>
      </c>
      <c r="B727" s="22">
        <v>9781403933065</v>
      </c>
      <c r="C727" s="23" t="s">
        <v>360</v>
      </c>
      <c r="D727" s="24" t="s">
        <v>359</v>
      </c>
      <c r="E727" s="23"/>
      <c r="F727" s="25">
        <v>2008</v>
      </c>
      <c r="G727" s="26" t="s">
        <v>1678</v>
      </c>
      <c r="H727" s="27">
        <v>1633</v>
      </c>
      <c r="I727" s="37">
        <v>25</v>
      </c>
      <c r="J727" s="59">
        <v>1225</v>
      </c>
      <c r="K727" s="42">
        <v>39.99</v>
      </c>
      <c r="L727" s="43" t="s">
        <v>272</v>
      </c>
      <c r="M727" s="26" t="s">
        <v>273</v>
      </c>
      <c r="N727" s="21"/>
      <c r="O727" s="25">
        <v>688</v>
      </c>
      <c r="P727" s="28" t="s">
        <v>361</v>
      </c>
    </row>
    <row r="728" spans="1:17" s="2" customFormat="1" ht="15" customHeight="1" x14ac:dyDescent="0.25">
      <c r="A728" s="63" t="s">
        <v>15</v>
      </c>
      <c r="B728" s="22">
        <v>9780230219748</v>
      </c>
      <c r="C728" s="23" t="s">
        <v>412</v>
      </c>
      <c r="D728" s="24" t="s">
        <v>182</v>
      </c>
      <c r="E728" s="23"/>
      <c r="F728" s="25">
        <v>2010</v>
      </c>
      <c r="G728" s="26" t="s">
        <v>1678</v>
      </c>
      <c r="H728" s="27">
        <v>1061</v>
      </c>
      <c r="I728" s="37">
        <v>25</v>
      </c>
      <c r="J728" s="59">
        <v>796</v>
      </c>
      <c r="K728" s="42">
        <v>25.99</v>
      </c>
      <c r="L728" s="43" t="s">
        <v>272</v>
      </c>
      <c r="M728" s="26" t="s">
        <v>273</v>
      </c>
      <c r="N728" s="21"/>
      <c r="O728" s="25">
        <v>208</v>
      </c>
      <c r="P728" s="28" t="s">
        <v>413</v>
      </c>
      <c r="Q728" s="4"/>
    </row>
    <row r="729" spans="1:17" s="3" customFormat="1" ht="15" customHeight="1" x14ac:dyDescent="0.25">
      <c r="A729" s="62" t="s">
        <v>1691</v>
      </c>
      <c r="B729" s="12">
        <v>9780230108776</v>
      </c>
      <c r="C729" s="13" t="s">
        <v>1385</v>
      </c>
      <c r="D729" s="14" t="str">
        <f>HYPERLINK("http://www.springer.com/gp/book/9780230108776","The New Sciences of Religion")</f>
        <v>The New Sciences of Religion</v>
      </c>
      <c r="E729" s="20" t="s">
        <v>1386</v>
      </c>
      <c r="F729" s="15" t="s">
        <v>688</v>
      </c>
      <c r="G729" s="16" t="s">
        <v>1525</v>
      </c>
      <c r="H729" s="17">
        <v>961</v>
      </c>
      <c r="I729" s="37">
        <v>25</v>
      </c>
      <c r="J729" s="59">
        <v>721</v>
      </c>
      <c r="K729" s="40">
        <v>29.99</v>
      </c>
      <c r="L729" s="41" t="s">
        <v>275</v>
      </c>
      <c r="M729" s="19" t="s">
        <v>273</v>
      </c>
      <c r="N729" s="11"/>
      <c r="O729" s="15"/>
      <c r="P729" s="16"/>
    </row>
    <row r="730" spans="1:17" s="3" customFormat="1" ht="15" customHeight="1" x14ac:dyDescent="0.25">
      <c r="A730" s="62" t="s">
        <v>1691</v>
      </c>
      <c r="B730" s="12">
        <v>9780230108769</v>
      </c>
      <c r="C730" s="13" t="s">
        <v>1385</v>
      </c>
      <c r="D730" s="14" t="str">
        <f>HYPERLINK("http://www.springer.com/gp/book/9780230108769","The New Sciences of Religion")</f>
        <v>The New Sciences of Religion</v>
      </c>
      <c r="E730" s="20" t="s">
        <v>1386</v>
      </c>
      <c r="F730" s="15" t="s">
        <v>688</v>
      </c>
      <c r="G730" s="16" t="s">
        <v>1525</v>
      </c>
      <c r="H730" s="17">
        <v>3130</v>
      </c>
      <c r="I730" s="37">
        <v>25</v>
      </c>
      <c r="J730" s="59">
        <v>2348</v>
      </c>
      <c r="K730" s="40">
        <v>99.99</v>
      </c>
      <c r="L730" s="41" t="s">
        <v>275</v>
      </c>
      <c r="M730" s="26" t="s">
        <v>274</v>
      </c>
      <c r="N730" s="11"/>
      <c r="O730" s="15"/>
      <c r="P730" s="16"/>
    </row>
    <row r="731" spans="1:17" s="3" customFormat="1" ht="15" customHeight="1" x14ac:dyDescent="0.25">
      <c r="A731" s="62" t="s">
        <v>1712</v>
      </c>
      <c r="B731" s="12">
        <v>9780230229327</v>
      </c>
      <c r="C731" s="13" t="s">
        <v>32</v>
      </c>
      <c r="D731" s="14" t="str">
        <f>HYPERLINK("http://www.springer.com/gp/book/9780230229327","1968 in Retrospect")</f>
        <v>1968 in Retrospect</v>
      </c>
      <c r="E731" s="20" t="s">
        <v>1412</v>
      </c>
      <c r="F731" s="15" t="s">
        <v>696</v>
      </c>
      <c r="G731" s="16" t="s">
        <v>1525</v>
      </c>
      <c r="H731" s="17">
        <v>2817</v>
      </c>
      <c r="I731" s="37">
        <v>25</v>
      </c>
      <c r="J731" s="59">
        <v>2113</v>
      </c>
      <c r="K731" s="40">
        <v>89.99</v>
      </c>
      <c r="L731" s="41" t="s">
        <v>275</v>
      </c>
      <c r="M731" s="26" t="s">
        <v>274</v>
      </c>
      <c r="N731" s="11"/>
      <c r="O731" s="15"/>
      <c r="P731" s="16"/>
    </row>
    <row r="732" spans="1:17" s="3" customFormat="1" ht="15" customHeight="1" x14ac:dyDescent="0.25">
      <c r="A732" s="62" t="s">
        <v>1712</v>
      </c>
      <c r="B732" s="12">
        <v>9780230353701</v>
      </c>
      <c r="C732" s="13" t="s">
        <v>1452</v>
      </c>
      <c r="D732" s="14" t="str">
        <f>HYPERLINK("http://www.springer.com/gp/book/9780230353701","Active Ageing in the European Union")</f>
        <v>Active Ageing in the European Union</v>
      </c>
      <c r="E732" s="20" t="s">
        <v>1453</v>
      </c>
      <c r="F732" s="15" t="s">
        <v>700</v>
      </c>
      <c r="G732" s="16" t="s">
        <v>1525</v>
      </c>
      <c r="H732" s="17">
        <v>2723</v>
      </c>
      <c r="I732" s="37">
        <v>20</v>
      </c>
      <c r="J732" s="59">
        <v>2178</v>
      </c>
      <c r="K732" s="40">
        <v>86.99</v>
      </c>
      <c r="L732" s="41" t="s">
        <v>275</v>
      </c>
      <c r="M732" s="26" t="s">
        <v>274</v>
      </c>
      <c r="N732" s="11"/>
      <c r="O732" s="15"/>
      <c r="P732" s="16"/>
    </row>
    <row r="733" spans="1:17" s="3" customFormat="1" ht="15" customHeight="1" x14ac:dyDescent="0.25">
      <c r="A733" s="62" t="s">
        <v>1712</v>
      </c>
      <c r="B733" s="12">
        <v>9780230390638</v>
      </c>
      <c r="C733" s="13" t="s">
        <v>1415</v>
      </c>
      <c r="D733" s="14" t="str">
        <f>HYPERLINK("http://www.springer.com/gp/book/9780230390638","Aesthetics and World Politics")</f>
        <v>Aesthetics and World Politics</v>
      </c>
      <c r="E733" s="20"/>
      <c r="F733" s="15" t="s">
        <v>752</v>
      </c>
      <c r="G733" s="16" t="s">
        <v>1525</v>
      </c>
      <c r="H733" s="17">
        <v>1121</v>
      </c>
      <c r="I733" s="37">
        <v>20</v>
      </c>
      <c r="J733" s="59">
        <v>897</v>
      </c>
      <c r="K733" s="40">
        <v>34.99</v>
      </c>
      <c r="L733" s="41" t="s">
        <v>275</v>
      </c>
      <c r="M733" s="19" t="s">
        <v>273</v>
      </c>
      <c r="N733" s="11"/>
      <c r="O733" s="15"/>
      <c r="P733" s="16"/>
    </row>
    <row r="734" spans="1:17" s="3" customFormat="1" ht="15" customHeight="1" x14ac:dyDescent="0.25">
      <c r="A734" s="62" t="s">
        <v>1712</v>
      </c>
      <c r="B734" s="12">
        <v>9781403989765</v>
      </c>
      <c r="C734" s="13" t="s">
        <v>1415</v>
      </c>
      <c r="D734" s="14" t="str">
        <f>HYPERLINK("http://www.springer.com/gp/book/9781403989765","Aesthetics and World Politics")</f>
        <v>Aesthetics and World Politics</v>
      </c>
      <c r="E734" s="20"/>
      <c r="F734" s="15" t="s">
        <v>752</v>
      </c>
      <c r="G734" s="16" t="s">
        <v>1525</v>
      </c>
      <c r="H734" s="17">
        <v>3286</v>
      </c>
      <c r="I734" s="37">
        <v>20</v>
      </c>
      <c r="J734" s="59">
        <v>2629</v>
      </c>
      <c r="K734" s="40">
        <v>104.99</v>
      </c>
      <c r="L734" s="41" t="s">
        <v>275</v>
      </c>
      <c r="M734" s="26" t="s">
        <v>274</v>
      </c>
      <c r="N734" s="11"/>
      <c r="O734" s="15"/>
      <c r="P734" s="16"/>
    </row>
    <row r="735" spans="1:17" s="3" customFormat="1" ht="15" customHeight="1" x14ac:dyDescent="0.25">
      <c r="A735" s="62" t="s">
        <v>1712</v>
      </c>
      <c r="B735" s="12">
        <v>9781403987723</v>
      </c>
      <c r="C735" s="13" t="s">
        <v>1510</v>
      </c>
      <c r="D735" s="14" t="str">
        <f>HYPERLINK("http://www.springer.com/gp/book/9781403987723","After 2015: International Development Policy at a Crossroads")</f>
        <v>After 2015: International Development Policy at a Crossroads</v>
      </c>
      <c r="E735" s="20"/>
      <c r="F735" s="15" t="s">
        <v>696</v>
      </c>
      <c r="G735" s="16" t="s">
        <v>1525</v>
      </c>
      <c r="H735" s="17">
        <v>3286</v>
      </c>
      <c r="I735" s="37">
        <v>25</v>
      </c>
      <c r="J735" s="59">
        <v>2465</v>
      </c>
      <c r="K735" s="40">
        <v>104.99</v>
      </c>
      <c r="L735" s="41" t="s">
        <v>275</v>
      </c>
      <c r="M735" s="26" t="s">
        <v>274</v>
      </c>
      <c r="N735" s="11"/>
      <c r="O735" s="15"/>
      <c r="P735" s="16"/>
    </row>
    <row r="736" spans="1:17" s="3" customFormat="1" ht="15" customHeight="1" x14ac:dyDescent="0.25">
      <c r="A736" s="63" t="s">
        <v>1712</v>
      </c>
      <c r="B736" s="22">
        <v>9780230005235</v>
      </c>
      <c r="C736" s="23" t="s">
        <v>579</v>
      </c>
      <c r="D736" s="24" t="s">
        <v>44</v>
      </c>
      <c r="E736" s="23"/>
      <c r="F736" s="25">
        <v>2007</v>
      </c>
      <c r="G736" s="26" t="s">
        <v>1678</v>
      </c>
      <c r="H736" s="27">
        <v>1020</v>
      </c>
      <c r="I736" s="38">
        <v>30</v>
      </c>
      <c r="J736" s="59">
        <v>714</v>
      </c>
      <c r="K736" s="42">
        <v>24.99</v>
      </c>
      <c r="L736" s="43" t="s">
        <v>272</v>
      </c>
      <c r="M736" s="26" t="s">
        <v>273</v>
      </c>
      <c r="N736" s="21"/>
      <c r="O736" s="25">
        <v>480</v>
      </c>
      <c r="P736" s="28" t="s">
        <v>580</v>
      </c>
    </row>
    <row r="737" spans="1:16" s="3" customFormat="1" ht="15" customHeight="1" x14ac:dyDescent="0.25">
      <c r="A737" s="62" t="s">
        <v>1712</v>
      </c>
      <c r="B737" s="12">
        <v>9781137374981</v>
      </c>
      <c r="C737" s="13" t="s">
        <v>1447</v>
      </c>
      <c r="D737" s="14" t="str">
        <f>HYPERLINK("http://www.springer.com/gp/book/9781137374981","Bioscience, Governance and Politics")</f>
        <v>Bioscience, Governance and Politics</v>
      </c>
      <c r="E737" s="20"/>
      <c r="F737" s="15" t="s">
        <v>708</v>
      </c>
      <c r="G737" s="16" t="s">
        <v>1525</v>
      </c>
      <c r="H737" s="17">
        <v>2723</v>
      </c>
      <c r="I737" s="37">
        <v>20</v>
      </c>
      <c r="J737" s="59">
        <v>2178</v>
      </c>
      <c r="K737" s="40">
        <v>86.99</v>
      </c>
      <c r="L737" s="41" t="s">
        <v>275</v>
      </c>
      <c r="M737" s="26" t="s">
        <v>274</v>
      </c>
      <c r="N737" s="11"/>
      <c r="O737" s="15"/>
      <c r="P737" s="16"/>
    </row>
    <row r="738" spans="1:16" s="3" customFormat="1" ht="15" customHeight="1" x14ac:dyDescent="0.25">
      <c r="A738" s="62" t="s">
        <v>1712</v>
      </c>
      <c r="B738" s="12">
        <v>9781137372185</v>
      </c>
      <c r="C738" s="13" t="s">
        <v>1422</v>
      </c>
      <c r="D738" s="14" t="str">
        <f>HYPERLINK("http://www.springer.com/gp/book/9781137372185","Bodies Without Borders")</f>
        <v>Bodies Without Borders</v>
      </c>
      <c r="E738" s="20"/>
      <c r="F738" s="15" t="s">
        <v>700</v>
      </c>
      <c r="G738" s="16" t="s">
        <v>1525</v>
      </c>
      <c r="H738" s="17">
        <v>2817</v>
      </c>
      <c r="I738" s="37">
        <v>20</v>
      </c>
      <c r="J738" s="59">
        <v>2254</v>
      </c>
      <c r="K738" s="40">
        <v>89.99</v>
      </c>
      <c r="L738" s="41" t="s">
        <v>275</v>
      </c>
      <c r="M738" s="26" t="s">
        <v>274</v>
      </c>
      <c r="N738" s="11"/>
      <c r="O738" s="15"/>
      <c r="P738" s="16"/>
    </row>
    <row r="739" spans="1:16" s="3" customFormat="1" ht="15" customHeight="1" x14ac:dyDescent="0.25">
      <c r="A739" s="62" t="s">
        <v>1712</v>
      </c>
      <c r="B739" s="12">
        <v>9781403945945</v>
      </c>
      <c r="C739" s="13" t="s">
        <v>1418</v>
      </c>
      <c r="D739" s="14" t="str">
        <f>HYPERLINK("http://www.springer.com/gp/book/9781403945945","Class Formation, Civil Society and the State")</f>
        <v>Class Formation, Civil Society and the State</v>
      </c>
      <c r="E739" s="20" t="s">
        <v>1419</v>
      </c>
      <c r="F739" s="15" t="s">
        <v>705</v>
      </c>
      <c r="G739" s="16" t="s">
        <v>1525</v>
      </c>
      <c r="H739" s="17">
        <v>4069</v>
      </c>
      <c r="I739" s="37">
        <v>25</v>
      </c>
      <c r="J739" s="59">
        <v>3052</v>
      </c>
      <c r="K739" s="40">
        <v>129.99</v>
      </c>
      <c r="L739" s="41" t="s">
        <v>275</v>
      </c>
      <c r="M739" s="26" t="s">
        <v>274</v>
      </c>
      <c r="N739" s="11"/>
      <c r="O739" s="15"/>
      <c r="P739" s="16"/>
    </row>
    <row r="740" spans="1:16" s="3" customFormat="1" ht="15" customHeight="1" x14ac:dyDescent="0.25">
      <c r="A740" s="62" t="s">
        <v>1712</v>
      </c>
      <c r="B740" s="12">
        <v>9781403997432</v>
      </c>
      <c r="C740" s="13" t="s">
        <v>1480</v>
      </c>
      <c r="D740" s="14" t="str">
        <f>HYPERLINK("http://www.springer.com/gp/book/9781403997432","Constituting Communities")</f>
        <v>Constituting Communities</v>
      </c>
      <c r="E740" s="20" t="s">
        <v>1481</v>
      </c>
      <c r="F740" s="15" t="s">
        <v>705</v>
      </c>
      <c r="G740" s="16" t="s">
        <v>1525</v>
      </c>
      <c r="H740" s="17">
        <v>3443</v>
      </c>
      <c r="I740" s="37">
        <v>25</v>
      </c>
      <c r="J740" s="59">
        <v>2582</v>
      </c>
      <c r="K740" s="40">
        <v>109.99</v>
      </c>
      <c r="L740" s="41" t="s">
        <v>275</v>
      </c>
      <c r="M740" s="26" t="s">
        <v>274</v>
      </c>
      <c r="N740" s="11"/>
      <c r="O740" s="15"/>
      <c r="P740" s="16"/>
    </row>
    <row r="741" spans="1:16" s="3" customFormat="1" ht="15" customHeight="1" x14ac:dyDescent="0.25">
      <c r="A741" s="62" t="s">
        <v>1712</v>
      </c>
      <c r="B741" s="22">
        <v>9780230228665</v>
      </c>
      <c r="C741" s="23" t="s">
        <v>373</v>
      </c>
      <c r="D741" s="24" t="s">
        <v>583</v>
      </c>
      <c r="E741" s="23"/>
      <c r="F741" s="25">
        <v>2009</v>
      </c>
      <c r="G741" s="26" t="s">
        <v>1678</v>
      </c>
      <c r="H741" s="27">
        <v>3062</v>
      </c>
      <c r="I741" s="37">
        <v>25</v>
      </c>
      <c r="J741" s="59">
        <v>2297</v>
      </c>
      <c r="K741" s="42">
        <v>75</v>
      </c>
      <c r="L741" s="43" t="s">
        <v>272</v>
      </c>
      <c r="M741" s="26" t="s">
        <v>274</v>
      </c>
      <c r="N741" s="21"/>
      <c r="O741" s="25">
        <v>272</v>
      </c>
      <c r="P741" s="28" t="s">
        <v>584</v>
      </c>
    </row>
    <row r="742" spans="1:16" s="3" customFormat="1" ht="15" customHeight="1" x14ac:dyDescent="0.25">
      <c r="A742" s="62" t="s">
        <v>1712</v>
      </c>
      <c r="B742" s="12">
        <v>9780230347915</v>
      </c>
      <c r="C742" s="13" t="s">
        <v>1487</v>
      </c>
      <c r="D742" s="14" t="str">
        <f>HYPERLINK("http://www.springer.com/gp/book/9780230347915","Cross Border Migrant Organizations in Comparative Perspective")</f>
        <v>Cross Border Migrant Organizations in Comparative Perspective</v>
      </c>
      <c r="E742" s="20"/>
      <c r="F742" s="15" t="s">
        <v>752</v>
      </c>
      <c r="G742" s="16" t="s">
        <v>1525</v>
      </c>
      <c r="H742" s="17">
        <v>2723</v>
      </c>
      <c r="I742" s="37">
        <v>20</v>
      </c>
      <c r="J742" s="59">
        <v>2178</v>
      </c>
      <c r="K742" s="40">
        <v>86.99</v>
      </c>
      <c r="L742" s="41" t="s">
        <v>275</v>
      </c>
      <c r="M742" s="26" t="s">
        <v>274</v>
      </c>
      <c r="N742" s="11"/>
      <c r="O742" s="15"/>
      <c r="P742" s="16"/>
    </row>
    <row r="743" spans="1:16" s="3" customFormat="1" ht="15" customHeight="1" x14ac:dyDescent="0.25">
      <c r="A743" s="62" t="s">
        <v>1712</v>
      </c>
      <c r="B743" s="12">
        <v>9781137263599</v>
      </c>
      <c r="C743" s="13" t="s">
        <v>1477</v>
      </c>
      <c r="D743" s="14" t="str">
        <f>HYPERLINK("http://www.springer.com/gp/book/9781137263599","Cross-Cultural Research with Integrity")</f>
        <v>Cross-Cultural Research with Integrity</v>
      </c>
      <c r="E743" s="20" t="s">
        <v>1478</v>
      </c>
      <c r="F743" s="15" t="s">
        <v>700</v>
      </c>
      <c r="G743" s="16" t="s">
        <v>1525</v>
      </c>
      <c r="H743" s="17">
        <v>2723</v>
      </c>
      <c r="I743" s="37">
        <v>20</v>
      </c>
      <c r="J743" s="59">
        <v>2178</v>
      </c>
      <c r="K743" s="40">
        <v>86.99</v>
      </c>
      <c r="L743" s="41" t="s">
        <v>275</v>
      </c>
      <c r="M743" s="26" t="s">
        <v>274</v>
      </c>
      <c r="N743" s="11"/>
      <c r="O743" s="15"/>
      <c r="P743" s="16"/>
    </row>
    <row r="744" spans="1:16" s="3" customFormat="1" ht="15" customHeight="1" x14ac:dyDescent="0.25">
      <c r="A744" s="62" t="s">
        <v>1712</v>
      </c>
      <c r="B744" s="12">
        <v>9780230340046</v>
      </c>
      <c r="C744" s="13" t="s">
        <v>242</v>
      </c>
      <c r="D744" s="14" t="str">
        <f>HYPERLINK("http://www.springer.com/gp/book/9780230340046","Cultural Politics and Resistance in the 21st Century")</f>
        <v>Cultural Politics and Resistance in the 21st Century</v>
      </c>
      <c r="E744" s="20" t="s">
        <v>1428</v>
      </c>
      <c r="F744" s="15" t="s">
        <v>752</v>
      </c>
      <c r="G744" s="16" t="s">
        <v>1525</v>
      </c>
      <c r="H744" s="17">
        <v>2817</v>
      </c>
      <c r="I744" s="37">
        <v>20</v>
      </c>
      <c r="J744" s="59">
        <v>2254</v>
      </c>
      <c r="K744" s="40">
        <v>89.99</v>
      </c>
      <c r="L744" s="41" t="s">
        <v>275</v>
      </c>
      <c r="M744" s="26" t="s">
        <v>274</v>
      </c>
      <c r="N744" s="11"/>
      <c r="O744" s="15"/>
      <c r="P744" s="16"/>
    </row>
    <row r="745" spans="1:16" s="3" customFormat="1" ht="15" customHeight="1" x14ac:dyDescent="0.25">
      <c r="A745" s="62" t="s">
        <v>1712</v>
      </c>
      <c r="B745" s="12">
        <v>9780230218833</v>
      </c>
      <c r="C745" s="13" t="s">
        <v>1522</v>
      </c>
      <c r="D745" s="14" t="str">
        <f>HYPERLINK("http://www.springer.com/gp/book/9780230218833","Democracy in Social Movements")</f>
        <v>Democracy in Social Movements</v>
      </c>
      <c r="E745" s="20"/>
      <c r="F745" s="15" t="s">
        <v>696</v>
      </c>
      <c r="G745" s="16" t="s">
        <v>1525</v>
      </c>
      <c r="H745" s="17">
        <v>2817</v>
      </c>
      <c r="I745" s="37">
        <v>25</v>
      </c>
      <c r="J745" s="59">
        <v>2113</v>
      </c>
      <c r="K745" s="40">
        <v>89.99</v>
      </c>
      <c r="L745" s="41" t="s">
        <v>275</v>
      </c>
      <c r="M745" s="26" t="s">
        <v>274</v>
      </c>
      <c r="N745" s="11"/>
      <c r="O745" s="15"/>
      <c r="P745" s="16"/>
    </row>
    <row r="746" spans="1:16" s="3" customFormat="1" ht="15" customHeight="1" x14ac:dyDescent="0.25">
      <c r="A746" s="62" t="s">
        <v>1712</v>
      </c>
      <c r="B746" s="12">
        <v>9780230289574</v>
      </c>
      <c r="C746" s="13" t="s">
        <v>1424</v>
      </c>
      <c r="D746" s="14" t="str">
        <f>HYPERLINK("http://www.springer.com/gp/book/9780230289574","Discourses of Olympism")</f>
        <v>Discourses of Olympism</v>
      </c>
      <c r="E746" s="20" t="s">
        <v>1425</v>
      </c>
      <c r="F746" s="15" t="s">
        <v>752</v>
      </c>
      <c r="G746" s="16" t="s">
        <v>1525</v>
      </c>
      <c r="H746" s="17">
        <v>2723</v>
      </c>
      <c r="I746" s="37">
        <v>20</v>
      </c>
      <c r="J746" s="59">
        <v>2178</v>
      </c>
      <c r="K746" s="40">
        <v>86.99</v>
      </c>
      <c r="L746" s="41" t="s">
        <v>275</v>
      </c>
      <c r="M746" s="26" t="s">
        <v>274</v>
      </c>
      <c r="N746" s="11"/>
      <c r="O746" s="15"/>
      <c r="P746" s="16"/>
    </row>
    <row r="747" spans="1:16" s="3" customFormat="1" ht="15" customHeight="1" x14ac:dyDescent="0.25">
      <c r="A747" s="63" t="s">
        <v>1712</v>
      </c>
      <c r="B747" s="22">
        <v>9781137306425</v>
      </c>
      <c r="C747" s="23" t="s">
        <v>404</v>
      </c>
      <c r="D747" s="24" t="s">
        <v>403</v>
      </c>
      <c r="E747" s="23"/>
      <c r="F747" s="25">
        <v>2014</v>
      </c>
      <c r="G747" s="26" t="s">
        <v>1678</v>
      </c>
      <c r="H747" s="27">
        <v>898</v>
      </c>
      <c r="I747" s="37">
        <v>20</v>
      </c>
      <c r="J747" s="59">
        <v>718</v>
      </c>
      <c r="K747" s="42">
        <v>21.99</v>
      </c>
      <c r="L747" s="43" t="s">
        <v>272</v>
      </c>
      <c r="M747" s="26" t="s">
        <v>273</v>
      </c>
      <c r="N747" s="21" t="s">
        <v>1679</v>
      </c>
      <c r="O747" s="25">
        <v>288</v>
      </c>
      <c r="P747" s="28" t="s">
        <v>405</v>
      </c>
    </row>
    <row r="748" spans="1:16" s="3" customFormat="1" ht="15" customHeight="1" x14ac:dyDescent="0.25">
      <c r="A748" s="63" t="s">
        <v>1712</v>
      </c>
      <c r="B748" s="22">
        <v>9780230297470</v>
      </c>
      <c r="C748" s="23" t="s">
        <v>553</v>
      </c>
      <c r="D748" s="24" t="s">
        <v>63</v>
      </c>
      <c r="E748" s="23"/>
      <c r="F748" s="25">
        <v>2012</v>
      </c>
      <c r="G748" s="26" t="s">
        <v>1678</v>
      </c>
      <c r="H748" s="27">
        <v>898</v>
      </c>
      <c r="I748" s="37">
        <v>20</v>
      </c>
      <c r="J748" s="59">
        <v>718</v>
      </c>
      <c r="K748" s="42">
        <v>21.99</v>
      </c>
      <c r="L748" s="43" t="s">
        <v>272</v>
      </c>
      <c r="M748" s="26" t="s">
        <v>273</v>
      </c>
      <c r="N748" s="21"/>
      <c r="O748" s="25">
        <v>224</v>
      </c>
      <c r="P748" s="28" t="s">
        <v>554</v>
      </c>
    </row>
    <row r="749" spans="1:16" s="3" customFormat="1" ht="15" customHeight="1" x14ac:dyDescent="0.25">
      <c r="A749" s="62" t="s">
        <v>1712</v>
      </c>
      <c r="B749" s="12">
        <v>9780333982037</v>
      </c>
      <c r="C749" s="13" t="s">
        <v>1431</v>
      </c>
      <c r="D749" s="14" t="str">
        <f>HYPERLINK("http://www.springer.com/gp/book/9780333982037","Drugs, Prisons and Policy-Making")</f>
        <v>Drugs, Prisons and Policy-Making</v>
      </c>
      <c r="E749" s="20"/>
      <c r="F749" s="15" t="s">
        <v>829</v>
      </c>
      <c r="G749" s="16" t="s">
        <v>1525</v>
      </c>
      <c r="H749" s="17">
        <v>3912</v>
      </c>
      <c r="I749" s="38">
        <v>30</v>
      </c>
      <c r="J749" s="59">
        <v>2738</v>
      </c>
      <c r="K749" s="40">
        <v>124.99</v>
      </c>
      <c r="L749" s="41" t="s">
        <v>275</v>
      </c>
      <c r="M749" s="26" t="s">
        <v>274</v>
      </c>
      <c r="N749" s="11"/>
      <c r="O749" s="15"/>
      <c r="P749" s="16"/>
    </row>
    <row r="750" spans="1:16" s="3" customFormat="1" ht="15" customHeight="1" x14ac:dyDescent="0.25">
      <c r="A750" s="62" t="s">
        <v>1712</v>
      </c>
      <c r="B750" s="12">
        <v>9780230301436</v>
      </c>
      <c r="C750" s="13" t="s">
        <v>1458</v>
      </c>
      <c r="D750" s="14" t="str">
        <f>HYPERLINK("http://www.springer.com/gp/book/9780230301436","Europe, Nations and Modernity")</f>
        <v>Europe, Nations and Modernity</v>
      </c>
      <c r="E750" s="20"/>
      <c r="F750" s="15" t="s">
        <v>714</v>
      </c>
      <c r="G750" s="16" t="s">
        <v>1525</v>
      </c>
      <c r="H750" s="17">
        <v>2817</v>
      </c>
      <c r="I750" s="37">
        <v>25</v>
      </c>
      <c r="J750" s="59">
        <v>2113</v>
      </c>
      <c r="K750" s="40">
        <v>89.99</v>
      </c>
      <c r="L750" s="41" t="s">
        <v>275</v>
      </c>
      <c r="M750" s="26" t="s">
        <v>274</v>
      </c>
      <c r="N750" s="11"/>
      <c r="O750" s="15"/>
      <c r="P750" s="16"/>
    </row>
    <row r="751" spans="1:16" s="3" customFormat="1" ht="15" customHeight="1" x14ac:dyDescent="0.25">
      <c r="A751" s="62" t="s">
        <v>1712</v>
      </c>
      <c r="B751" s="12">
        <v>9780230296565</v>
      </c>
      <c r="C751" s="13" t="s">
        <v>1459</v>
      </c>
      <c r="D751" s="14" t="str">
        <f>HYPERLINK("http://www.springer.com/gp/book/9780230296565","Evaluating Culture")</f>
        <v>Evaluating Culture</v>
      </c>
      <c r="E751" s="20" t="s">
        <v>1460</v>
      </c>
      <c r="F751" s="15" t="s">
        <v>700</v>
      </c>
      <c r="G751" s="16" t="s">
        <v>1525</v>
      </c>
      <c r="H751" s="17">
        <v>2563</v>
      </c>
      <c r="I751" s="37">
        <v>20</v>
      </c>
      <c r="J751" s="59">
        <v>2050</v>
      </c>
      <c r="K751" s="40">
        <v>79.989999999999995</v>
      </c>
      <c r="L751" s="41" t="s">
        <v>275</v>
      </c>
      <c r="M751" s="26" t="s">
        <v>274</v>
      </c>
      <c r="N751" s="11"/>
      <c r="O751" s="15"/>
      <c r="P751" s="16"/>
    </row>
    <row r="752" spans="1:16" s="3" customFormat="1" ht="15" customHeight="1" x14ac:dyDescent="0.25">
      <c r="A752" s="63" t="s">
        <v>1712</v>
      </c>
      <c r="B752" s="22">
        <v>9780333960509</v>
      </c>
      <c r="C752" s="23" t="s">
        <v>368</v>
      </c>
      <c r="D752" s="24" t="s">
        <v>367</v>
      </c>
      <c r="E752" s="23"/>
      <c r="F752" s="25">
        <v>2002</v>
      </c>
      <c r="G752" s="26" t="s">
        <v>1678</v>
      </c>
      <c r="H752" s="27">
        <v>1183</v>
      </c>
      <c r="I752" s="38">
        <v>30</v>
      </c>
      <c r="J752" s="59">
        <v>828</v>
      </c>
      <c r="K752" s="42">
        <v>28.99</v>
      </c>
      <c r="L752" s="43" t="s">
        <v>272</v>
      </c>
      <c r="M752" s="26" t="s">
        <v>273</v>
      </c>
      <c r="N752" s="21"/>
      <c r="O752" s="25">
        <v>192</v>
      </c>
      <c r="P752" s="28" t="s">
        <v>369</v>
      </c>
    </row>
    <row r="753" spans="1:16" s="3" customFormat="1" ht="15" customHeight="1" x14ac:dyDescent="0.25">
      <c r="A753" s="62" t="s">
        <v>1712</v>
      </c>
      <c r="B753" s="12">
        <v>9780230216341</v>
      </c>
      <c r="C753" s="13" t="s">
        <v>1402</v>
      </c>
      <c r="D753" s="14" t="str">
        <f>HYPERLINK("http://www.springer.com/gp/book/9780230216341","Gender, Health and Information Technology in Context")</f>
        <v>Gender, Health and Information Technology in Context</v>
      </c>
      <c r="E753" s="20"/>
      <c r="F753" s="15" t="s">
        <v>696</v>
      </c>
      <c r="G753" s="16" t="s">
        <v>1525</v>
      </c>
      <c r="H753" s="17">
        <v>3130</v>
      </c>
      <c r="I753" s="37">
        <v>25</v>
      </c>
      <c r="J753" s="59">
        <v>2348</v>
      </c>
      <c r="K753" s="40">
        <v>99.99</v>
      </c>
      <c r="L753" s="41" t="s">
        <v>275</v>
      </c>
      <c r="M753" s="26" t="s">
        <v>274</v>
      </c>
      <c r="N753" s="11"/>
      <c r="O753" s="15"/>
      <c r="P753" s="16"/>
    </row>
    <row r="754" spans="1:16" s="3" customFormat="1" ht="15" customHeight="1" x14ac:dyDescent="0.25">
      <c r="A754" s="62" t="s">
        <v>1712</v>
      </c>
      <c r="B754" s="12">
        <v>9780230613089</v>
      </c>
      <c r="C754" s="13" t="s">
        <v>1456</v>
      </c>
      <c r="D754" s="14" t="str">
        <f>HYPERLINK("http://www.springer.com/gp/book/9780230613089","Gendering Religion and Politics")</f>
        <v>Gendering Religion and Politics</v>
      </c>
      <c r="E754" s="20" t="s">
        <v>1457</v>
      </c>
      <c r="F754" s="15" t="s">
        <v>696</v>
      </c>
      <c r="G754" s="16" t="s">
        <v>1525</v>
      </c>
      <c r="H754" s="17">
        <v>3130</v>
      </c>
      <c r="I754" s="37">
        <v>25</v>
      </c>
      <c r="J754" s="59">
        <v>2348</v>
      </c>
      <c r="K754" s="40">
        <v>99.99</v>
      </c>
      <c r="L754" s="41" t="s">
        <v>275</v>
      </c>
      <c r="M754" s="26" t="s">
        <v>274</v>
      </c>
      <c r="N754" s="11"/>
      <c r="O754" s="15"/>
      <c r="P754" s="16"/>
    </row>
    <row r="755" spans="1:16" s="3" customFormat="1" ht="15" customHeight="1" x14ac:dyDescent="0.25">
      <c r="A755" s="63" t="s">
        <v>1712</v>
      </c>
      <c r="B755" s="22">
        <v>9780230304383</v>
      </c>
      <c r="C755" s="23" t="s">
        <v>73</v>
      </c>
      <c r="D755" s="24" t="s">
        <v>506</v>
      </c>
      <c r="E755" s="23"/>
      <c r="F755" s="25">
        <v>2014</v>
      </c>
      <c r="G755" s="26" t="s">
        <v>1678</v>
      </c>
      <c r="H755" s="27">
        <v>1020</v>
      </c>
      <c r="I755" s="37">
        <v>20</v>
      </c>
      <c r="J755" s="59">
        <v>816</v>
      </c>
      <c r="K755" s="42">
        <v>24.99</v>
      </c>
      <c r="L755" s="43" t="s">
        <v>272</v>
      </c>
      <c r="M755" s="26" t="s">
        <v>273</v>
      </c>
      <c r="N755" s="21"/>
      <c r="O755" s="25">
        <v>200</v>
      </c>
      <c r="P755" s="28" t="s">
        <v>507</v>
      </c>
    </row>
    <row r="756" spans="1:16" s="3" customFormat="1" ht="15" customHeight="1" x14ac:dyDescent="0.25">
      <c r="A756" s="62" t="s">
        <v>1712</v>
      </c>
      <c r="B756" s="12">
        <v>9781137007117</v>
      </c>
      <c r="C756" s="13" t="s">
        <v>1466</v>
      </c>
      <c r="D756" s="14" t="str">
        <f>HYPERLINK("http://www.springer.com/gp/book/9781137007117","Global Migration")</f>
        <v>Global Migration</v>
      </c>
      <c r="E756" s="20" t="s">
        <v>1467</v>
      </c>
      <c r="F756" s="15" t="s">
        <v>752</v>
      </c>
      <c r="G756" s="16" t="s">
        <v>1525</v>
      </c>
      <c r="H756" s="17">
        <v>2723</v>
      </c>
      <c r="I756" s="37">
        <v>20</v>
      </c>
      <c r="J756" s="59">
        <v>2178</v>
      </c>
      <c r="K756" s="40">
        <v>86.99</v>
      </c>
      <c r="L756" s="41" t="s">
        <v>275</v>
      </c>
      <c r="M756" s="26" t="s">
        <v>274</v>
      </c>
      <c r="N756" s="11"/>
      <c r="O756" s="15"/>
      <c r="P756" s="16"/>
    </row>
    <row r="757" spans="1:16" s="3" customFormat="1" ht="15" customHeight="1" x14ac:dyDescent="0.25">
      <c r="A757" s="63" t="s">
        <v>1712</v>
      </c>
      <c r="B757" s="29">
        <v>9781403948458</v>
      </c>
      <c r="C757" s="30" t="s">
        <v>2</v>
      </c>
      <c r="D757" s="31" t="s">
        <v>74</v>
      </c>
      <c r="E757" s="30"/>
      <c r="F757" s="32">
        <v>2007</v>
      </c>
      <c r="G757" s="19" t="s">
        <v>4</v>
      </c>
      <c r="H757" s="33">
        <v>1061</v>
      </c>
      <c r="I757" s="38">
        <v>30</v>
      </c>
      <c r="J757" s="59">
        <v>743</v>
      </c>
      <c r="K757" s="44">
        <v>25.99</v>
      </c>
      <c r="L757" s="45" t="s">
        <v>272</v>
      </c>
      <c r="M757" s="19" t="s">
        <v>273</v>
      </c>
      <c r="N757" s="21" t="s">
        <v>1679</v>
      </c>
      <c r="O757" s="18">
        <v>576</v>
      </c>
      <c r="P757" s="19" t="s">
        <v>1650</v>
      </c>
    </row>
    <row r="758" spans="1:16" s="3" customFormat="1" ht="15" customHeight="1" x14ac:dyDescent="0.25">
      <c r="A758" s="62" t="s">
        <v>1712</v>
      </c>
      <c r="B758" s="12">
        <v>9780230247345</v>
      </c>
      <c r="C758" s="13" t="s">
        <v>185</v>
      </c>
      <c r="D758" s="14" t="str">
        <f>HYPERLINK("http://www.springer.com/gp/book/9780230247345","Globalization and Borders")</f>
        <v>Globalization and Borders</v>
      </c>
      <c r="E758" s="20" t="s">
        <v>1516</v>
      </c>
      <c r="F758" s="15" t="s">
        <v>708</v>
      </c>
      <c r="G758" s="16" t="s">
        <v>1525</v>
      </c>
      <c r="H758" s="17">
        <v>2817</v>
      </c>
      <c r="I758" s="37">
        <v>20</v>
      </c>
      <c r="J758" s="59">
        <v>2254</v>
      </c>
      <c r="K758" s="40">
        <v>89.99</v>
      </c>
      <c r="L758" s="41" t="s">
        <v>275</v>
      </c>
      <c r="M758" s="26" t="s">
        <v>274</v>
      </c>
      <c r="N758" s="11"/>
      <c r="O758" s="15"/>
      <c r="P758" s="16"/>
    </row>
    <row r="759" spans="1:16" s="3" customFormat="1" ht="15" customHeight="1" x14ac:dyDescent="0.25">
      <c r="A759" s="62" t="s">
        <v>1712</v>
      </c>
      <c r="B759" s="12">
        <v>9780230354494</v>
      </c>
      <c r="C759" s="13" t="s">
        <v>217</v>
      </c>
      <c r="D759" s="14" t="str">
        <f>HYPERLINK("http://www.springer.com/gp/book/9780230354494","Globalization and Emerging Societies")</f>
        <v>Globalization and Emerging Societies</v>
      </c>
      <c r="E759" s="20" t="s">
        <v>1486</v>
      </c>
      <c r="F759" s="15" t="s">
        <v>696</v>
      </c>
      <c r="G759" s="16" t="s">
        <v>1525</v>
      </c>
      <c r="H759" s="17">
        <v>961</v>
      </c>
      <c r="I759" s="37">
        <v>25</v>
      </c>
      <c r="J759" s="59">
        <v>721</v>
      </c>
      <c r="K759" s="40">
        <v>29.99</v>
      </c>
      <c r="L759" s="41" t="s">
        <v>275</v>
      </c>
      <c r="M759" s="19" t="s">
        <v>273</v>
      </c>
      <c r="N759" s="11"/>
      <c r="O759" s="15"/>
      <c r="P759" s="16"/>
    </row>
    <row r="760" spans="1:16" s="3" customFormat="1" ht="15" customHeight="1" x14ac:dyDescent="0.25">
      <c r="A760" s="62" t="s">
        <v>1712</v>
      </c>
      <c r="B760" s="12">
        <v>9781137517760</v>
      </c>
      <c r="C760" s="13" t="s">
        <v>1387</v>
      </c>
      <c r="D760" s="14" t="str">
        <f>HYPERLINK("http://www.springer.com/gp/book/9781137517760","Hazardous Wastes, Industrial Disasters, and Environmental Health Risks")</f>
        <v>Hazardous Wastes, Industrial Disasters, and Environmental Health Risks</v>
      </c>
      <c r="E760" s="20" t="s">
        <v>1388</v>
      </c>
      <c r="F760" s="15" t="s">
        <v>714</v>
      </c>
      <c r="G760" s="16" t="s">
        <v>1525</v>
      </c>
      <c r="H760" s="17">
        <v>961</v>
      </c>
      <c r="I760" s="37">
        <v>25</v>
      </c>
      <c r="J760" s="59">
        <v>721</v>
      </c>
      <c r="K760" s="40">
        <v>29.99</v>
      </c>
      <c r="L760" s="41" t="s">
        <v>275</v>
      </c>
      <c r="M760" s="19" t="s">
        <v>273</v>
      </c>
      <c r="N760" s="11"/>
      <c r="O760" s="15"/>
      <c r="P760" s="16"/>
    </row>
    <row r="761" spans="1:16" s="3" customFormat="1" ht="15" customHeight="1" x14ac:dyDescent="0.25">
      <c r="A761" s="62" t="s">
        <v>1712</v>
      </c>
      <c r="B761" s="12">
        <v>9780230118218</v>
      </c>
      <c r="C761" s="13" t="s">
        <v>1387</v>
      </c>
      <c r="D761" s="14" t="str">
        <f>HYPERLINK("http://www.springer.com/gp/book/9780230118218","Hazardous Wastes, Industrial Disasters, and Environmental Health Risks")</f>
        <v>Hazardous Wastes, Industrial Disasters, and Environmental Health Risks</v>
      </c>
      <c r="E761" s="20" t="s">
        <v>1388</v>
      </c>
      <c r="F761" s="15" t="s">
        <v>714</v>
      </c>
      <c r="G761" s="16" t="s">
        <v>1525</v>
      </c>
      <c r="H761" s="17">
        <v>3130</v>
      </c>
      <c r="I761" s="37">
        <v>25</v>
      </c>
      <c r="J761" s="59">
        <v>2348</v>
      </c>
      <c r="K761" s="40">
        <v>99.99</v>
      </c>
      <c r="L761" s="41" t="s">
        <v>275</v>
      </c>
      <c r="M761" s="26" t="s">
        <v>274</v>
      </c>
      <c r="N761" s="11"/>
      <c r="O761" s="15"/>
      <c r="P761" s="16"/>
    </row>
    <row r="762" spans="1:16" s="3" customFormat="1" ht="15" customHeight="1" x14ac:dyDescent="0.25">
      <c r="A762" s="62" t="s">
        <v>1712</v>
      </c>
      <c r="B762" s="12">
        <v>9781137384683</v>
      </c>
      <c r="C762" s="13" t="s">
        <v>1413</v>
      </c>
      <c r="D762" s="14" t="str">
        <f>HYPERLINK("http://www.springer.com/gp/book/9781137384683","How Power Corrupts")</f>
        <v>How Power Corrupts</v>
      </c>
      <c r="E762" s="20" t="s">
        <v>1414</v>
      </c>
      <c r="F762" s="15" t="s">
        <v>708</v>
      </c>
      <c r="G762" s="16" t="s">
        <v>1525</v>
      </c>
      <c r="H762" s="17">
        <v>1282</v>
      </c>
      <c r="I762" s="37">
        <v>20</v>
      </c>
      <c r="J762" s="59">
        <v>1026</v>
      </c>
      <c r="K762" s="40">
        <v>39.99</v>
      </c>
      <c r="L762" s="41" t="s">
        <v>275</v>
      </c>
      <c r="M762" s="19" t="s">
        <v>273</v>
      </c>
      <c r="N762" s="11"/>
      <c r="O762" s="15"/>
      <c r="P762" s="16"/>
    </row>
    <row r="763" spans="1:16" s="3" customFormat="1" ht="15" customHeight="1" x14ac:dyDescent="0.25">
      <c r="A763" s="62" t="s">
        <v>1712</v>
      </c>
      <c r="B763" s="12">
        <v>9780230221963</v>
      </c>
      <c r="C763" s="13" t="s">
        <v>1397</v>
      </c>
      <c r="D763" s="14" t="str">
        <f>HYPERLINK("http://www.springer.com/gp/book/9780230221963","Humanitarian Response Index 2008")</f>
        <v>Humanitarian Response Index 2008</v>
      </c>
      <c r="E763" s="20" t="s">
        <v>1398</v>
      </c>
      <c r="F763" s="15" t="s">
        <v>696</v>
      </c>
      <c r="G763" s="16" t="s">
        <v>1525</v>
      </c>
      <c r="H763" s="17">
        <v>2660</v>
      </c>
      <c r="I763" s="37">
        <v>25</v>
      </c>
      <c r="J763" s="59">
        <v>1995</v>
      </c>
      <c r="K763" s="40">
        <v>84.99</v>
      </c>
      <c r="L763" s="41" t="s">
        <v>275</v>
      </c>
      <c r="M763" s="19" t="s">
        <v>273</v>
      </c>
      <c r="N763" s="11"/>
      <c r="O763" s="15"/>
      <c r="P763" s="16"/>
    </row>
    <row r="764" spans="1:16" s="3" customFormat="1" ht="15" customHeight="1" x14ac:dyDescent="0.25">
      <c r="A764" s="62" t="s">
        <v>1712</v>
      </c>
      <c r="B764" s="12">
        <v>9780230580879</v>
      </c>
      <c r="C764" s="13" t="s">
        <v>1518</v>
      </c>
      <c r="D764" s="14" t="str">
        <f>HYPERLINK("http://www.springer.com/gp/book/9780230580879","Identity in the 21st Century")</f>
        <v>Identity in the 21st Century</v>
      </c>
      <c r="E764" s="20" t="s">
        <v>1519</v>
      </c>
      <c r="F764" s="15" t="s">
        <v>696</v>
      </c>
      <c r="G764" s="16" t="s">
        <v>1525</v>
      </c>
      <c r="H764" s="17">
        <v>2973</v>
      </c>
      <c r="I764" s="37">
        <v>25</v>
      </c>
      <c r="J764" s="59">
        <v>2230</v>
      </c>
      <c r="K764" s="40">
        <v>94.99</v>
      </c>
      <c r="L764" s="41" t="s">
        <v>275</v>
      </c>
      <c r="M764" s="26" t="s">
        <v>274</v>
      </c>
      <c r="N764" s="11"/>
      <c r="O764" s="15"/>
      <c r="P764" s="16"/>
    </row>
    <row r="765" spans="1:16" s="3" customFormat="1" ht="15" customHeight="1" x14ac:dyDescent="0.25">
      <c r="A765" s="62" t="s">
        <v>1712</v>
      </c>
      <c r="B765" s="12">
        <v>9780230278493</v>
      </c>
      <c r="C765" s="13" t="s">
        <v>80</v>
      </c>
      <c r="D765" s="14" t="str">
        <f>HYPERLINK("http://www.springer.com/gp/book/9780230278493","Innovations in Youth Research")</f>
        <v>Innovations in Youth Research</v>
      </c>
      <c r="E765" s="20"/>
      <c r="F765" s="15" t="s">
        <v>752</v>
      </c>
      <c r="G765" s="16" t="s">
        <v>1525</v>
      </c>
      <c r="H765" s="17">
        <v>2817</v>
      </c>
      <c r="I765" s="37">
        <v>20</v>
      </c>
      <c r="J765" s="59">
        <v>2254</v>
      </c>
      <c r="K765" s="40">
        <v>89.99</v>
      </c>
      <c r="L765" s="41" t="s">
        <v>275</v>
      </c>
      <c r="M765" s="26" t="s">
        <v>274</v>
      </c>
      <c r="N765" s="11"/>
      <c r="O765" s="15"/>
      <c r="P765" s="16"/>
    </row>
    <row r="766" spans="1:16" s="3" customFormat="1" ht="15" customHeight="1" x14ac:dyDescent="0.25">
      <c r="A766" s="62" t="s">
        <v>1712</v>
      </c>
      <c r="B766" s="12">
        <v>9780230248281</v>
      </c>
      <c r="C766" s="13" t="s">
        <v>1521</v>
      </c>
      <c r="D766" s="14" t="str">
        <f>HYPERLINK("http://www.springer.com/gp/book/9780230248281","International Migration, Development and Human Wellbeing")</f>
        <v>International Migration, Development and Human Wellbeing</v>
      </c>
      <c r="E766" s="20"/>
      <c r="F766" s="15" t="s">
        <v>752</v>
      </c>
      <c r="G766" s="16" t="s">
        <v>1525</v>
      </c>
      <c r="H766" s="17">
        <v>2723</v>
      </c>
      <c r="I766" s="37">
        <v>20</v>
      </c>
      <c r="J766" s="59">
        <v>2178</v>
      </c>
      <c r="K766" s="40">
        <v>86.99</v>
      </c>
      <c r="L766" s="41" t="s">
        <v>275</v>
      </c>
      <c r="M766" s="26" t="s">
        <v>274</v>
      </c>
      <c r="N766" s="11"/>
      <c r="O766" s="15"/>
      <c r="P766" s="16"/>
    </row>
    <row r="767" spans="1:16" s="3" customFormat="1" ht="15" customHeight="1" x14ac:dyDescent="0.25">
      <c r="A767" s="63" t="s">
        <v>1712</v>
      </c>
      <c r="B767" s="22">
        <v>9781137008343</v>
      </c>
      <c r="C767" s="23" t="s">
        <v>528</v>
      </c>
      <c r="D767" s="24" t="s">
        <v>527</v>
      </c>
      <c r="E767" s="23"/>
      <c r="F767" s="25">
        <v>2012</v>
      </c>
      <c r="G767" s="26" t="s">
        <v>1678</v>
      </c>
      <c r="H767" s="27">
        <v>1143</v>
      </c>
      <c r="I767" s="37">
        <v>20</v>
      </c>
      <c r="J767" s="59">
        <v>914</v>
      </c>
      <c r="K767" s="42">
        <v>27.99</v>
      </c>
      <c r="L767" s="43" t="s">
        <v>272</v>
      </c>
      <c r="M767" s="26" t="s">
        <v>273</v>
      </c>
      <c r="N767" s="21"/>
      <c r="O767" s="25">
        <v>320</v>
      </c>
      <c r="P767" s="28" t="s">
        <v>529</v>
      </c>
    </row>
    <row r="768" spans="1:16" s="3" customFormat="1" ht="15" customHeight="1" x14ac:dyDescent="0.25">
      <c r="A768" s="62" t="s">
        <v>1712</v>
      </c>
      <c r="B768" s="12">
        <v>9780230516793</v>
      </c>
      <c r="C768" s="13" t="s">
        <v>247</v>
      </c>
      <c r="D768" s="14" t="str">
        <f>HYPERLINK("http://www.springer.com/gp/book/9780230516793","Islam, Migration and Integration")</f>
        <v>Islam, Migration and Integration</v>
      </c>
      <c r="E768" s="20" t="s">
        <v>1463</v>
      </c>
      <c r="F768" s="15" t="s">
        <v>696</v>
      </c>
      <c r="G768" s="16" t="s">
        <v>1525</v>
      </c>
      <c r="H768" s="17">
        <v>3130</v>
      </c>
      <c r="I768" s="37">
        <v>25</v>
      </c>
      <c r="J768" s="59">
        <v>2348</v>
      </c>
      <c r="K768" s="40">
        <v>99.99</v>
      </c>
      <c r="L768" s="41" t="s">
        <v>275</v>
      </c>
      <c r="M768" s="26" t="s">
        <v>274</v>
      </c>
      <c r="N768" s="11"/>
      <c r="O768" s="15"/>
      <c r="P768" s="16"/>
    </row>
    <row r="769" spans="1:16" s="3" customFormat="1" ht="15" customHeight="1" x14ac:dyDescent="0.25">
      <c r="A769" s="62" t="s">
        <v>1712</v>
      </c>
      <c r="B769" s="12">
        <v>9780230202726</v>
      </c>
      <c r="C769" s="13" t="s">
        <v>1513</v>
      </c>
      <c r="D769" s="14" t="str">
        <f>HYPERLINK("http://www.springer.com/gp/book/9780230202726","Lesbian and Gay Parenting")</f>
        <v>Lesbian and Gay Parenting</v>
      </c>
      <c r="E769" s="20" t="s">
        <v>1514</v>
      </c>
      <c r="F769" s="15" t="s">
        <v>696</v>
      </c>
      <c r="G769" s="16" t="s">
        <v>1525</v>
      </c>
      <c r="H769" s="17">
        <v>2817</v>
      </c>
      <c r="I769" s="37">
        <v>25</v>
      </c>
      <c r="J769" s="59">
        <v>2113</v>
      </c>
      <c r="K769" s="40">
        <v>89.99</v>
      </c>
      <c r="L769" s="41" t="s">
        <v>275</v>
      </c>
      <c r="M769" s="26" t="s">
        <v>274</v>
      </c>
      <c r="N769" s="11"/>
      <c r="O769" s="15"/>
      <c r="P769" s="16"/>
    </row>
    <row r="770" spans="1:16" s="3" customFormat="1" ht="15" customHeight="1" x14ac:dyDescent="0.25">
      <c r="A770" s="62" t="s">
        <v>1712</v>
      </c>
      <c r="B770" s="12">
        <v>9780230356023</v>
      </c>
      <c r="C770" s="13" t="s">
        <v>1495</v>
      </c>
      <c r="D770" s="14" t="str">
        <f>HYPERLINK("http://www.springer.com/gp/book/9780230356023","Mapping Intimacies")</f>
        <v>Mapping Intimacies</v>
      </c>
      <c r="E770" s="20" t="s">
        <v>1496</v>
      </c>
      <c r="F770" s="15" t="s">
        <v>700</v>
      </c>
      <c r="G770" s="16" t="s">
        <v>1525</v>
      </c>
      <c r="H770" s="17">
        <v>2563</v>
      </c>
      <c r="I770" s="37">
        <v>20</v>
      </c>
      <c r="J770" s="59">
        <v>2050</v>
      </c>
      <c r="K770" s="40">
        <v>79.989999999999995</v>
      </c>
      <c r="L770" s="41" t="s">
        <v>275</v>
      </c>
      <c r="M770" s="26" t="s">
        <v>274</v>
      </c>
      <c r="N770" s="11"/>
      <c r="O770" s="15"/>
      <c r="P770" s="16"/>
    </row>
    <row r="771" spans="1:16" s="3" customFormat="1" ht="15" customHeight="1" x14ac:dyDescent="0.25">
      <c r="A771" s="62" t="s">
        <v>1712</v>
      </c>
      <c r="B771" s="12">
        <v>9780230576650</v>
      </c>
      <c r="C771" s="13" t="s">
        <v>1500</v>
      </c>
      <c r="D771" s="14" t="str">
        <f>HYPERLINK("http://www.springer.com/gp/book/9780230576650","Memory Culture and the Contemporary City")</f>
        <v>Memory Culture and the Contemporary City</v>
      </c>
      <c r="E771" s="20" t="s">
        <v>1501</v>
      </c>
      <c r="F771" s="15" t="s">
        <v>696</v>
      </c>
      <c r="G771" s="16" t="s">
        <v>1525</v>
      </c>
      <c r="H771" s="17">
        <v>3130</v>
      </c>
      <c r="I771" s="37">
        <v>25</v>
      </c>
      <c r="J771" s="59">
        <v>2348</v>
      </c>
      <c r="K771" s="40">
        <v>99.99</v>
      </c>
      <c r="L771" s="41" t="s">
        <v>275</v>
      </c>
      <c r="M771" s="26" t="s">
        <v>274</v>
      </c>
      <c r="N771" s="11"/>
      <c r="O771" s="15"/>
      <c r="P771" s="16"/>
    </row>
    <row r="772" spans="1:16" s="3" customFormat="1" ht="15" customHeight="1" x14ac:dyDescent="0.25">
      <c r="A772" s="62" t="s">
        <v>1712</v>
      </c>
      <c r="B772" s="12">
        <v>9781137451170</v>
      </c>
      <c r="C772" s="13" t="s">
        <v>1515</v>
      </c>
      <c r="D772" s="14" t="str">
        <f>HYPERLINK("http://www.springer.com/gp/book/9781137451170","Migration and Worker Fatalities Abroad")</f>
        <v>Migration and Worker Fatalities Abroad</v>
      </c>
      <c r="E772" s="20"/>
      <c r="F772" s="15" t="s">
        <v>694</v>
      </c>
      <c r="G772" s="16" t="s">
        <v>1525</v>
      </c>
      <c r="H772" s="17">
        <v>1922</v>
      </c>
      <c r="I772" s="37">
        <v>20</v>
      </c>
      <c r="J772" s="59">
        <v>1538</v>
      </c>
      <c r="K772" s="40">
        <v>59.99</v>
      </c>
      <c r="L772" s="41" t="s">
        <v>275</v>
      </c>
      <c r="M772" s="26" t="s">
        <v>274</v>
      </c>
      <c r="N772" s="11"/>
      <c r="O772" s="15"/>
      <c r="P772" s="16"/>
    </row>
    <row r="773" spans="1:16" s="3" customFormat="1" ht="15" customHeight="1" x14ac:dyDescent="0.25">
      <c r="A773" s="62" t="s">
        <v>1712</v>
      </c>
      <c r="B773" s="12">
        <v>9780230303416</v>
      </c>
      <c r="C773" s="13" t="s">
        <v>1468</v>
      </c>
      <c r="D773" s="14" t="str">
        <f>HYPERLINK("http://www.springer.com/gp/book/9780230303416","Naturalization Policies, Education and Citizenship")</f>
        <v>Naturalization Policies, Education and Citizenship</v>
      </c>
      <c r="E773" s="20" t="s">
        <v>1469</v>
      </c>
      <c r="F773" s="15" t="s">
        <v>700</v>
      </c>
      <c r="G773" s="16" t="s">
        <v>1525</v>
      </c>
      <c r="H773" s="17">
        <v>2563</v>
      </c>
      <c r="I773" s="37">
        <v>20</v>
      </c>
      <c r="J773" s="59">
        <v>2050</v>
      </c>
      <c r="K773" s="40">
        <v>79.989999999999995</v>
      </c>
      <c r="L773" s="41" t="s">
        <v>275</v>
      </c>
      <c r="M773" s="26" t="s">
        <v>274</v>
      </c>
      <c r="N773" s="11"/>
      <c r="O773" s="15"/>
      <c r="P773" s="16"/>
    </row>
    <row r="774" spans="1:16" s="3" customFormat="1" ht="15" customHeight="1" x14ac:dyDescent="0.25">
      <c r="A774" s="62" t="s">
        <v>1712</v>
      </c>
      <c r="B774" s="12">
        <v>9780230280526</v>
      </c>
      <c r="C774" s="13" t="s">
        <v>1395</v>
      </c>
      <c r="D774" s="14" t="str">
        <f>HYPERLINK("http://www.springer.com/gp/book/9780230280526","Negotiating Multicultural Europe")</f>
        <v>Negotiating Multicultural Europe</v>
      </c>
      <c r="E774" s="20" t="s">
        <v>1396</v>
      </c>
      <c r="F774" s="15" t="s">
        <v>714</v>
      </c>
      <c r="G774" s="16" t="s">
        <v>1525</v>
      </c>
      <c r="H774" s="17">
        <v>2817</v>
      </c>
      <c r="I774" s="37">
        <v>25</v>
      </c>
      <c r="J774" s="59">
        <v>2113</v>
      </c>
      <c r="K774" s="40">
        <v>89.99</v>
      </c>
      <c r="L774" s="41" t="s">
        <v>275</v>
      </c>
      <c r="M774" s="26" t="s">
        <v>274</v>
      </c>
      <c r="N774" s="11"/>
      <c r="O774" s="15"/>
      <c r="P774" s="16"/>
    </row>
    <row r="775" spans="1:16" s="3" customFormat="1" ht="15" customHeight="1" x14ac:dyDescent="0.25">
      <c r="A775" s="62" t="s">
        <v>1712</v>
      </c>
      <c r="B775" s="12">
        <v>9781137264220</v>
      </c>
      <c r="C775" s="13" t="s">
        <v>1399</v>
      </c>
      <c r="D775" s="14" t="str">
        <f>HYPERLINK("http://www.springer.com/gp/book/9781137264220","New Technology, Organizational Change and Governance")</f>
        <v>New Technology, Organizational Change and Governance</v>
      </c>
      <c r="E775" s="20"/>
      <c r="F775" s="15" t="s">
        <v>700</v>
      </c>
      <c r="G775" s="16" t="s">
        <v>1525</v>
      </c>
      <c r="H775" s="17">
        <v>2817</v>
      </c>
      <c r="I775" s="37">
        <v>20</v>
      </c>
      <c r="J775" s="59">
        <v>2254</v>
      </c>
      <c r="K775" s="40">
        <v>89.99</v>
      </c>
      <c r="L775" s="41" t="s">
        <v>275</v>
      </c>
      <c r="M775" s="26" t="s">
        <v>274</v>
      </c>
      <c r="N775" s="11"/>
      <c r="O775" s="15"/>
      <c r="P775" s="16"/>
    </row>
    <row r="776" spans="1:16" s="3" customFormat="1" ht="15" customHeight="1" x14ac:dyDescent="0.25">
      <c r="A776" s="62" t="s">
        <v>1712</v>
      </c>
      <c r="B776" s="12">
        <v>9780230244177</v>
      </c>
      <c r="C776" s="13" t="s">
        <v>223</v>
      </c>
      <c r="D776" s="14" t="str">
        <f>HYPERLINK("http://www.springer.com/gp/book/9780230244177","Olympic Games, Mega-Events and Civil Societies")</f>
        <v>Olympic Games, Mega-Events and Civil Societies</v>
      </c>
      <c r="E776" s="20" t="s">
        <v>1454</v>
      </c>
      <c r="F776" s="15" t="s">
        <v>752</v>
      </c>
      <c r="G776" s="16" t="s">
        <v>1525</v>
      </c>
      <c r="H776" s="17">
        <v>2817</v>
      </c>
      <c r="I776" s="37">
        <v>20</v>
      </c>
      <c r="J776" s="59">
        <v>2254</v>
      </c>
      <c r="K776" s="40">
        <v>89.99</v>
      </c>
      <c r="L776" s="41" t="s">
        <v>275</v>
      </c>
      <c r="M776" s="26" t="s">
        <v>274</v>
      </c>
      <c r="N776" s="11"/>
      <c r="O776" s="15"/>
      <c r="P776" s="16"/>
    </row>
    <row r="777" spans="1:16" s="3" customFormat="1" ht="15" customHeight="1" x14ac:dyDescent="0.25">
      <c r="A777" s="62" t="s">
        <v>1712</v>
      </c>
      <c r="B777" s="12">
        <v>9781137280596</v>
      </c>
      <c r="C777" s="13" t="s">
        <v>1472</v>
      </c>
      <c r="D777" s="14" t="str">
        <f>HYPERLINK("http://www.springer.com/gp/book/9781137280596","Parliament and Diaspora in Europe")</f>
        <v>Parliament and Diaspora in Europe</v>
      </c>
      <c r="E777" s="20"/>
      <c r="F777" s="15" t="s">
        <v>700</v>
      </c>
      <c r="G777" s="16" t="s">
        <v>1525</v>
      </c>
      <c r="H777" s="17">
        <v>2817</v>
      </c>
      <c r="I777" s="37">
        <v>20</v>
      </c>
      <c r="J777" s="59">
        <v>2254</v>
      </c>
      <c r="K777" s="40">
        <v>89.99</v>
      </c>
      <c r="L777" s="41" t="s">
        <v>275</v>
      </c>
      <c r="M777" s="26" t="s">
        <v>274</v>
      </c>
      <c r="N777" s="11"/>
      <c r="O777" s="15"/>
      <c r="P777" s="16"/>
    </row>
    <row r="778" spans="1:16" s="3" customFormat="1" ht="15" customHeight="1" x14ac:dyDescent="0.25">
      <c r="A778" s="63" t="s">
        <v>1712</v>
      </c>
      <c r="B778" s="22">
        <v>9780230575905</v>
      </c>
      <c r="C778" s="23" t="s">
        <v>419</v>
      </c>
      <c r="D778" s="24" t="s">
        <v>107</v>
      </c>
      <c r="E778" s="23"/>
      <c r="F778" s="25">
        <v>2011</v>
      </c>
      <c r="G778" s="26" t="s">
        <v>1678</v>
      </c>
      <c r="H778" s="27">
        <v>2653</v>
      </c>
      <c r="I778" s="37">
        <v>25</v>
      </c>
      <c r="J778" s="59">
        <v>1990</v>
      </c>
      <c r="K778" s="42">
        <v>65</v>
      </c>
      <c r="L778" s="43" t="s">
        <v>272</v>
      </c>
      <c r="M778" s="26" t="s">
        <v>274</v>
      </c>
      <c r="N778" s="21"/>
      <c r="O778" s="25">
        <v>224</v>
      </c>
      <c r="P778" s="28" t="s">
        <v>420</v>
      </c>
    </row>
    <row r="779" spans="1:16" s="3" customFormat="1" ht="15" customHeight="1" x14ac:dyDescent="0.25">
      <c r="A779" s="63" t="s">
        <v>1712</v>
      </c>
      <c r="B779" s="29">
        <v>9780230542884</v>
      </c>
      <c r="C779" s="30" t="s">
        <v>110</v>
      </c>
      <c r="D779" s="31" t="s">
        <v>111</v>
      </c>
      <c r="E779" s="30"/>
      <c r="F779" s="32">
        <v>2007</v>
      </c>
      <c r="G779" s="19" t="s">
        <v>4</v>
      </c>
      <c r="H779" s="33">
        <v>898</v>
      </c>
      <c r="I779" s="38">
        <v>30</v>
      </c>
      <c r="J779" s="59">
        <v>629</v>
      </c>
      <c r="K779" s="44">
        <v>21.99</v>
      </c>
      <c r="L779" s="45" t="s">
        <v>272</v>
      </c>
      <c r="M779" s="19" t="s">
        <v>273</v>
      </c>
      <c r="N779" s="29"/>
      <c r="O779" s="18">
        <v>160</v>
      </c>
      <c r="P779" s="19" t="s">
        <v>1565</v>
      </c>
    </row>
    <row r="780" spans="1:16" s="3" customFormat="1" ht="15" customHeight="1" x14ac:dyDescent="0.25">
      <c r="A780" s="62" t="s">
        <v>1712</v>
      </c>
      <c r="B780" s="12">
        <v>9780333666623</v>
      </c>
      <c r="C780" s="13" t="s">
        <v>1022</v>
      </c>
      <c r="D780" s="14" t="str">
        <f>HYPERLINK("http://www.springer.com/gp/book/9780333666623","Raymond Williams's Sociology of Culture")</f>
        <v>Raymond Williams's Sociology of Culture</v>
      </c>
      <c r="E780" s="20" t="s">
        <v>1023</v>
      </c>
      <c r="F780" s="15" t="s">
        <v>808</v>
      </c>
      <c r="G780" s="16" t="s">
        <v>1525</v>
      </c>
      <c r="H780" s="17">
        <v>3599</v>
      </c>
      <c r="I780" s="38">
        <v>30</v>
      </c>
      <c r="J780" s="59">
        <v>2519</v>
      </c>
      <c r="K780" s="40">
        <v>114.99</v>
      </c>
      <c r="L780" s="41" t="s">
        <v>275</v>
      </c>
      <c r="M780" s="26" t="s">
        <v>274</v>
      </c>
      <c r="N780" s="11"/>
      <c r="O780" s="15"/>
      <c r="P780" s="16"/>
    </row>
    <row r="781" spans="1:16" s="3" customFormat="1" ht="15" customHeight="1" x14ac:dyDescent="0.25">
      <c r="A781" s="62" t="s">
        <v>1712</v>
      </c>
      <c r="B781" s="12">
        <v>9780312295677</v>
      </c>
      <c r="C781" s="13" t="s">
        <v>1504</v>
      </c>
      <c r="D781" s="14" t="str">
        <f>HYPERLINK("http://www.springer.com/gp/book/9780312295677","Reading Across Borders")</f>
        <v>Reading Across Borders</v>
      </c>
      <c r="E781" s="20" t="s">
        <v>1505</v>
      </c>
      <c r="F781" s="15" t="s">
        <v>829</v>
      </c>
      <c r="G781" s="16" t="s">
        <v>1525</v>
      </c>
      <c r="H781" s="17">
        <v>1602</v>
      </c>
      <c r="I781" s="38">
        <v>30</v>
      </c>
      <c r="J781" s="59">
        <v>1121</v>
      </c>
      <c r="K781" s="40">
        <v>49.99</v>
      </c>
      <c r="L781" s="41" t="s">
        <v>275</v>
      </c>
      <c r="M781" s="19" t="s">
        <v>273</v>
      </c>
      <c r="N781" s="11"/>
      <c r="O781" s="15"/>
      <c r="P781" s="16"/>
    </row>
    <row r="782" spans="1:16" s="3" customFormat="1" ht="15" customHeight="1" x14ac:dyDescent="0.25">
      <c r="A782" s="62" t="s">
        <v>1712</v>
      </c>
      <c r="B782" s="12">
        <v>9781137453242</v>
      </c>
      <c r="C782" s="13" t="s">
        <v>282</v>
      </c>
      <c r="D782" s="14" t="str">
        <f>HYPERLINK("http://www.springer.com/gp/book/9781137453242","Regimes of Social Cohesion")</f>
        <v>Regimes of Social Cohesion</v>
      </c>
      <c r="E782" s="20" t="s">
        <v>1450</v>
      </c>
      <c r="F782" s="15" t="s">
        <v>714</v>
      </c>
      <c r="G782" s="16" t="s">
        <v>1525</v>
      </c>
      <c r="H782" s="17">
        <v>1121</v>
      </c>
      <c r="I782" s="37">
        <v>25</v>
      </c>
      <c r="J782" s="59">
        <v>841</v>
      </c>
      <c r="K782" s="40">
        <v>34.99</v>
      </c>
      <c r="L782" s="41" t="s">
        <v>275</v>
      </c>
      <c r="M782" s="19" t="s">
        <v>273</v>
      </c>
      <c r="N782" s="11"/>
      <c r="O782" s="15"/>
      <c r="P782" s="16"/>
    </row>
    <row r="783" spans="1:16" s="3" customFormat="1" ht="15" customHeight="1" x14ac:dyDescent="0.25">
      <c r="A783" s="62" t="s">
        <v>1712</v>
      </c>
      <c r="B783" s="12">
        <v>9781137371836</v>
      </c>
      <c r="C783" s="13" t="s">
        <v>922</v>
      </c>
      <c r="D783" s="14" t="str">
        <f>HYPERLINK("http://www.springer.com/gp/book/9781137371836","Reimagining the European Family")</f>
        <v>Reimagining the European Family</v>
      </c>
      <c r="E783" s="20" t="s">
        <v>1497</v>
      </c>
      <c r="F783" s="15" t="s">
        <v>700</v>
      </c>
      <c r="G783" s="16" t="s">
        <v>1525</v>
      </c>
      <c r="H783" s="17">
        <v>2563</v>
      </c>
      <c r="I783" s="37">
        <v>20</v>
      </c>
      <c r="J783" s="59">
        <v>2050</v>
      </c>
      <c r="K783" s="40">
        <v>79.989999999999995</v>
      </c>
      <c r="L783" s="41" t="s">
        <v>275</v>
      </c>
      <c r="M783" s="26" t="s">
        <v>274</v>
      </c>
      <c r="N783" s="11"/>
      <c r="O783" s="15"/>
      <c r="P783" s="16"/>
    </row>
    <row r="784" spans="1:16" s="3" customFormat="1" ht="15" customHeight="1" x14ac:dyDescent="0.25">
      <c r="A784" s="62" t="s">
        <v>1712</v>
      </c>
      <c r="B784" s="12">
        <v>9780333760673</v>
      </c>
      <c r="C784" s="13" t="s">
        <v>335</v>
      </c>
      <c r="D784" s="14" t="str">
        <f>HYPERLINK("http://www.springer.com/gp/book/9780333760673","Remodelling Hospitals and Health Professions in Europe")</f>
        <v>Remodelling Hospitals and Health Professions in Europe</v>
      </c>
      <c r="E784" s="20" t="s">
        <v>1429</v>
      </c>
      <c r="F784" s="15" t="s">
        <v>829</v>
      </c>
      <c r="G784" s="16" t="s">
        <v>1525</v>
      </c>
      <c r="H784" s="17">
        <v>3912</v>
      </c>
      <c r="I784" s="38">
        <v>30</v>
      </c>
      <c r="J784" s="59">
        <v>2738</v>
      </c>
      <c r="K784" s="40">
        <v>124.99</v>
      </c>
      <c r="L784" s="41" t="s">
        <v>275</v>
      </c>
      <c r="M784" s="26" t="s">
        <v>274</v>
      </c>
      <c r="N784" s="11"/>
      <c r="O784" s="15"/>
      <c r="P784" s="16"/>
    </row>
    <row r="785" spans="1:16" s="3" customFormat="1" ht="15" customHeight="1" x14ac:dyDescent="0.25">
      <c r="A785" s="62" t="s">
        <v>1712</v>
      </c>
      <c r="B785" s="12">
        <v>9781137357472</v>
      </c>
      <c r="C785" s="13" t="s">
        <v>1448</v>
      </c>
      <c r="D785" s="14" t="str">
        <f>HYPERLINK("http://www.springer.com/gp/book/9781137357472","Researching the Police in the 21st Century")</f>
        <v>Researching the Police in the 21st Century</v>
      </c>
      <c r="E785" s="20" t="s">
        <v>1449</v>
      </c>
      <c r="F785" s="15" t="s">
        <v>708</v>
      </c>
      <c r="G785" s="16" t="s">
        <v>1525</v>
      </c>
      <c r="H785" s="17">
        <v>1282</v>
      </c>
      <c r="I785" s="37">
        <v>20</v>
      </c>
      <c r="J785" s="59">
        <v>1026</v>
      </c>
      <c r="K785" s="40">
        <v>39.99</v>
      </c>
      <c r="L785" s="41" t="s">
        <v>275</v>
      </c>
      <c r="M785" s="19" t="s">
        <v>273</v>
      </c>
      <c r="N785" s="11"/>
      <c r="O785" s="15"/>
      <c r="P785" s="16"/>
    </row>
    <row r="786" spans="1:16" s="3" customFormat="1" ht="15" customHeight="1" x14ac:dyDescent="0.25">
      <c r="A786" s="62" t="s">
        <v>1712</v>
      </c>
      <c r="B786" s="12">
        <v>9780230573314</v>
      </c>
      <c r="C786" s="13" t="s">
        <v>1393</v>
      </c>
      <c r="D786" s="14" t="str">
        <f>HYPERLINK("http://www.springer.com/gp/book/9780230573314","Rethinking Trafficking in Women")</f>
        <v>Rethinking Trafficking in Women</v>
      </c>
      <c r="E786" s="20" t="s">
        <v>1394</v>
      </c>
      <c r="F786" s="15" t="s">
        <v>705</v>
      </c>
      <c r="G786" s="16" t="s">
        <v>1525</v>
      </c>
      <c r="H786" s="17">
        <v>3443</v>
      </c>
      <c r="I786" s="37">
        <v>25</v>
      </c>
      <c r="J786" s="59">
        <v>2582</v>
      </c>
      <c r="K786" s="40">
        <v>109.99</v>
      </c>
      <c r="L786" s="41" t="s">
        <v>275</v>
      </c>
      <c r="M786" s="26" t="s">
        <v>274</v>
      </c>
      <c r="N786" s="11"/>
      <c r="O786" s="15"/>
      <c r="P786" s="16"/>
    </row>
    <row r="787" spans="1:16" s="3" customFormat="1" ht="15" customHeight="1" x14ac:dyDescent="0.25">
      <c r="A787" s="62" t="s">
        <v>1712</v>
      </c>
      <c r="B787" s="12">
        <v>9781137348883</v>
      </c>
      <c r="C787" s="13" t="s">
        <v>1461</v>
      </c>
      <c r="D787" s="14" t="str">
        <f>HYPERLINK("http://www.springer.com/gp/book/9781137348883","Rural Cooperation in Europe")</f>
        <v>Rural Cooperation in Europe</v>
      </c>
      <c r="E787" s="20" t="s">
        <v>1462</v>
      </c>
      <c r="F787" s="15" t="s">
        <v>708</v>
      </c>
      <c r="G787" s="16" t="s">
        <v>1525</v>
      </c>
      <c r="H787" s="17">
        <v>2817</v>
      </c>
      <c r="I787" s="37">
        <v>20</v>
      </c>
      <c r="J787" s="59">
        <v>2254</v>
      </c>
      <c r="K787" s="40">
        <v>89.99</v>
      </c>
      <c r="L787" s="41" t="s">
        <v>275</v>
      </c>
      <c r="M787" s="26" t="s">
        <v>274</v>
      </c>
      <c r="N787" s="11"/>
      <c r="O787" s="15"/>
      <c r="P787" s="16"/>
    </row>
    <row r="788" spans="1:16" s="3" customFormat="1" ht="15" customHeight="1" x14ac:dyDescent="0.25">
      <c r="A788" s="62" t="s">
        <v>1712</v>
      </c>
      <c r="B788" s="12">
        <v>9780230613256</v>
      </c>
      <c r="C788" s="13" t="s">
        <v>1407</v>
      </c>
      <c r="D788" s="14" t="str">
        <f>HYPERLINK("http://www.springer.com/gp/book/9780230613256","Sex Discrimination and Law Firm Culture on the Internet")</f>
        <v>Sex Discrimination and Law Firm Culture on the Internet</v>
      </c>
      <c r="E788" s="20" t="s">
        <v>1408</v>
      </c>
      <c r="F788" s="15" t="s">
        <v>696</v>
      </c>
      <c r="G788" s="16" t="s">
        <v>1525</v>
      </c>
      <c r="H788" s="17">
        <v>3130</v>
      </c>
      <c r="I788" s="37">
        <v>25</v>
      </c>
      <c r="J788" s="59">
        <v>2348</v>
      </c>
      <c r="K788" s="40">
        <v>99.99</v>
      </c>
      <c r="L788" s="41" t="s">
        <v>275</v>
      </c>
      <c r="M788" s="26" t="s">
        <v>274</v>
      </c>
      <c r="N788" s="11"/>
      <c r="O788" s="15"/>
      <c r="P788" s="16"/>
    </row>
    <row r="789" spans="1:16" s="3" customFormat="1" ht="15" customHeight="1" x14ac:dyDescent="0.25">
      <c r="A789" s="62" t="s">
        <v>1712</v>
      </c>
      <c r="B789" s="12">
        <v>9781137008800</v>
      </c>
      <c r="C789" s="13" t="s">
        <v>223</v>
      </c>
      <c r="D789" s="14" t="str">
        <f>HYPERLINK("http://www.springer.com/gp/book/9781137008800","Sex, Love and Abuse")</f>
        <v>Sex, Love and Abuse</v>
      </c>
      <c r="E789" s="20" t="s">
        <v>1455</v>
      </c>
      <c r="F789" s="15" t="s">
        <v>708</v>
      </c>
      <c r="G789" s="16" t="s">
        <v>1525</v>
      </c>
      <c r="H789" s="17">
        <v>2563</v>
      </c>
      <c r="I789" s="37">
        <v>20</v>
      </c>
      <c r="J789" s="59">
        <v>2050</v>
      </c>
      <c r="K789" s="40">
        <v>79.989999999999995</v>
      </c>
      <c r="L789" s="41" t="s">
        <v>275</v>
      </c>
      <c r="M789" s="26" t="s">
        <v>274</v>
      </c>
      <c r="N789" s="11"/>
      <c r="O789" s="15"/>
      <c r="P789" s="16"/>
    </row>
    <row r="790" spans="1:16" s="3" customFormat="1" ht="15" customHeight="1" x14ac:dyDescent="0.25">
      <c r="A790" s="62" t="s">
        <v>1712</v>
      </c>
      <c r="B790" s="12">
        <v>9781137267047</v>
      </c>
      <c r="C790" s="13" t="s">
        <v>1508</v>
      </c>
      <c r="D790" s="14" t="str">
        <f>HYPERLINK("http://www.springer.com/gp/book/9781137267047","Smart Energy Technologies in Everyday Life")</f>
        <v>Smart Energy Technologies in Everyday Life</v>
      </c>
      <c r="E790" s="20" t="s">
        <v>1509</v>
      </c>
      <c r="F790" s="15" t="s">
        <v>700</v>
      </c>
      <c r="G790" s="16" t="s">
        <v>1525</v>
      </c>
      <c r="H790" s="17">
        <v>2563</v>
      </c>
      <c r="I790" s="37">
        <v>20</v>
      </c>
      <c r="J790" s="59">
        <v>2050</v>
      </c>
      <c r="K790" s="40">
        <v>79.989999999999995</v>
      </c>
      <c r="L790" s="41" t="s">
        <v>275</v>
      </c>
      <c r="M790" s="26" t="s">
        <v>274</v>
      </c>
      <c r="N790" s="11"/>
      <c r="O790" s="15"/>
      <c r="P790" s="16"/>
    </row>
    <row r="791" spans="1:16" s="3" customFormat="1" ht="15" customHeight="1" x14ac:dyDescent="0.25">
      <c r="A791" s="63" t="s">
        <v>1712</v>
      </c>
      <c r="B791" s="29">
        <v>9781403944399</v>
      </c>
      <c r="C791" s="30" t="s">
        <v>121</v>
      </c>
      <c r="D791" s="31" t="s">
        <v>122</v>
      </c>
      <c r="E791" s="30"/>
      <c r="F791" s="32">
        <v>2006</v>
      </c>
      <c r="G791" s="19" t="s">
        <v>4</v>
      </c>
      <c r="H791" s="33">
        <v>1480</v>
      </c>
      <c r="I791" s="38">
        <v>30</v>
      </c>
      <c r="J791" s="59">
        <v>1036</v>
      </c>
      <c r="K791" s="44">
        <v>36.25</v>
      </c>
      <c r="L791" s="45" t="s">
        <v>272</v>
      </c>
      <c r="M791" s="19" t="s">
        <v>273</v>
      </c>
      <c r="N791" s="21" t="s">
        <v>1679</v>
      </c>
      <c r="O791" s="18">
        <v>432</v>
      </c>
      <c r="P791" s="19" t="s">
        <v>1645</v>
      </c>
    </row>
    <row r="792" spans="1:16" s="3" customFormat="1" ht="15" customHeight="1" x14ac:dyDescent="0.25">
      <c r="A792" s="63" t="s">
        <v>1712</v>
      </c>
      <c r="B792" s="22">
        <v>9780230360877</v>
      </c>
      <c r="C792" s="23" t="s">
        <v>123</v>
      </c>
      <c r="D792" s="24" t="s">
        <v>514</v>
      </c>
      <c r="E792" s="23"/>
      <c r="F792" s="25">
        <v>2014</v>
      </c>
      <c r="G792" s="26" t="s">
        <v>1678</v>
      </c>
      <c r="H792" s="27">
        <v>1061</v>
      </c>
      <c r="I792" s="37">
        <v>20</v>
      </c>
      <c r="J792" s="59">
        <v>849</v>
      </c>
      <c r="K792" s="42">
        <v>25.99</v>
      </c>
      <c r="L792" s="43" t="s">
        <v>272</v>
      </c>
      <c r="M792" s="26" t="s">
        <v>273</v>
      </c>
      <c r="N792" s="21"/>
      <c r="O792" s="25">
        <v>248</v>
      </c>
      <c r="P792" s="28" t="s">
        <v>515</v>
      </c>
    </row>
    <row r="793" spans="1:16" s="3" customFormat="1" ht="15" customHeight="1" x14ac:dyDescent="0.25">
      <c r="A793" s="62" t="s">
        <v>1712</v>
      </c>
      <c r="B793" s="12">
        <v>9780230236141</v>
      </c>
      <c r="C793" s="13" t="s">
        <v>1523</v>
      </c>
      <c r="D793" s="14" t="str">
        <f>HYPERLINK("http://www.springer.com/gp/book/9780230236141","Social Movements, Public Spheres and the European Politics of the Environment")</f>
        <v>Social Movements, Public Spheres and the European Politics of the Environment</v>
      </c>
      <c r="E793" s="20" t="s">
        <v>1524</v>
      </c>
      <c r="F793" s="15" t="s">
        <v>688</v>
      </c>
      <c r="G793" s="16" t="s">
        <v>1525</v>
      </c>
      <c r="H793" s="17">
        <v>2973</v>
      </c>
      <c r="I793" s="37">
        <v>25</v>
      </c>
      <c r="J793" s="59">
        <v>2230</v>
      </c>
      <c r="K793" s="40">
        <v>94.99</v>
      </c>
      <c r="L793" s="41" t="s">
        <v>275</v>
      </c>
      <c r="M793" s="26" t="s">
        <v>274</v>
      </c>
      <c r="N793" s="11"/>
      <c r="O793" s="15"/>
      <c r="P793" s="16"/>
    </row>
    <row r="794" spans="1:16" s="3" customFormat="1" ht="15" customHeight="1" x14ac:dyDescent="0.25">
      <c r="A794" s="63" t="s">
        <v>1712</v>
      </c>
      <c r="B794" s="29">
        <v>9780333637289</v>
      </c>
      <c r="C794" s="30" t="s">
        <v>125</v>
      </c>
      <c r="D794" s="31" t="s">
        <v>126</v>
      </c>
      <c r="E794" s="30" t="s">
        <v>1578</v>
      </c>
      <c r="F794" s="32">
        <v>2004</v>
      </c>
      <c r="G794" s="19" t="s">
        <v>4</v>
      </c>
      <c r="H794" s="33">
        <v>898</v>
      </c>
      <c r="I794" s="38">
        <v>30</v>
      </c>
      <c r="J794" s="59">
        <v>629</v>
      </c>
      <c r="K794" s="44">
        <v>21.99</v>
      </c>
      <c r="L794" s="45" t="s">
        <v>272</v>
      </c>
      <c r="M794" s="19" t="s">
        <v>273</v>
      </c>
      <c r="N794" s="29"/>
      <c r="O794" s="18">
        <v>368</v>
      </c>
      <c r="P794" s="19" t="s">
        <v>1579</v>
      </c>
    </row>
    <row r="795" spans="1:16" s="3" customFormat="1" ht="15" customHeight="1" x14ac:dyDescent="0.25">
      <c r="A795" s="63" t="s">
        <v>1712</v>
      </c>
      <c r="B795" s="22">
        <v>9780230308145</v>
      </c>
      <c r="C795" s="23" t="s">
        <v>602</v>
      </c>
      <c r="D795" s="24" t="s">
        <v>227</v>
      </c>
      <c r="E795" s="23"/>
      <c r="F795" s="25">
        <v>2013</v>
      </c>
      <c r="G795" s="26" t="s">
        <v>1678</v>
      </c>
      <c r="H795" s="27">
        <v>938</v>
      </c>
      <c r="I795" s="37">
        <v>20</v>
      </c>
      <c r="J795" s="59">
        <v>750</v>
      </c>
      <c r="K795" s="42">
        <v>22.99</v>
      </c>
      <c r="L795" s="43" t="s">
        <v>272</v>
      </c>
      <c r="M795" s="26" t="s">
        <v>273</v>
      </c>
      <c r="N795" s="21"/>
      <c r="O795" s="25">
        <v>256</v>
      </c>
      <c r="P795" s="28" t="s">
        <v>603</v>
      </c>
    </row>
    <row r="796" spans="1:16" s="3" customFormat="1" ht="15" customHeight="1" x14ac:dyDescent="0.25">
      <c r="A796" s="63" t="s">
        <v>1712</v>
      </c>
      <c r="B796" s="22">
        <v>9780230584693</v>
      </c>
      <c r="C796" s="23" t="s">
        <v>444</v>
      </c>
      <c r="D796" s="24" t="s">
        <v>19</v>
      </c>
      <c r="E796" s="23"/>
      <c r="F796" s="25">
        <v>2011</v>
      </c>
      <c r="G796" s="26" t="s">
        <v>1678</v>
      </c>
      <c r="H796" s="27">
        <v>979</v>
      </c>
      <c r="I796" s="37">
        <v>25</v>
      </c>
      <c r="J796" s="59">
        <v>734</v>
      </c>
      <c r="K796" s="42">
        <v>23.99</v>
      </c>
      <c r="L796" s="43" t="s">
        <v>272</v>
      </c>
      <c r="M796" s="26" t="s">
        <v>273</v>
      </c>
      <c r="N796" s="21"/>
      <c r="O796" s="25">
        <v>272</v>
      </c>
      <c r="P796" s="28" t="s">
        <v>445</v>
      </c>
    </row>
    <row r="797" spans="1:16" s="3" customFormat="1" ht="15" customHeight="1" x14ac:dyDescent="0.25">
      <c r="A797" s="63" t="s">
        <v>1712</v>
      </c>
      <c r="B797" s="22">
        <v>9781403916525</v>
      </c>
      <c r="C797" s="23" t="s">
        <v>570</v>
      </c>
      <c r="D797" s="24" t="s">
        <v>131</v>
      </c>
      <c r="E797" s="23"/>
      <c r="F797" s="25">
        <v>2006</v>
      </c>
      <c r="G797" s="26" t="s">
        <v>1678</v>
      </c>
      <c r="H797" s="27">
        <v>1183</v>
      </c>
      <c r="I797" s="38">
        <v>30</v>
      </c>
      <c r="J797" s="59">
        <v>828</v>
      </c>
      <c r="K797" s="42">
        <v>28.99</v>
      </c>
      <c r="L797" s="43" t="s">
        <v>272</v>
      </c>
      <c r="M797" s="26" t="s">
        <v>273</v>
      </c>
      <c r="N797" s="21"/>
      <c r="O797" s="25">
        <v>232</v>
      </c>
      <c r="P797" s="28" t="s">
        <v>571</v>
      </c>
    </row>
    <row r="798" spans="1:16" s="3" customFormat="1" ht="15" customHeight="1" x14ac:dyDescent="0.25">
      <c r="A798" s="63" t="s">
        <v>1712</v>
      </c>
      <c r="B798" s="22">
        <v>9781403947284</v>
      </c>
      <c r="C798" s="23" t="s">
        <v>357</v>
      </c>
      <c r="D798" s="24" t="s">
        <v>356</v>
      </c>
      <c r="E798" s="23"/>
      <c r="F798" s="25">
        <v>2008</v>
      </c>
      <c r="G798" s="26" t="s">
        <v>1678</v>
      </c>
      <c r="H798" s="27">
        <v>3062</v>
      </c>
      <c r="I798" s="37">
        <v>25</v>
      </c>
      <c r="J798" s="59">
        <v>2297</v>
      </c>
      <c r="K798" s="42">
        <v>75</v>
      </c>
      <c r="L798" s="43" t="s">
        <v>272</v>
      </c>
      <c r="M798" s="26" t="s">
        <v>274</v>
      </c>
      <c r="N798" s="21"/>
      <c r="O798" s="25">
        <v>224</v>
      </c>
      <c r="P798" s="28" t="s">
        <v>358</v>
      </c>
    </row>
    <row r="799" spans="1:16" s="3" customFormat="1" ht="15" customHeight="1" x14ac:dyDescent="0.25">
      <c r="A799" s="62" t="s">
        <v>1712</v>
      </c>
      <c r="B799" s="12">
        <v>9780230580831</v>
      </c>
      <c r="C799" s="13" t="s">
        <v>1506</v>
      </c>
      <c r="D799" s="14" t="str">
        <f>HYPERLINK("http://www.springer.com/gp/book/9780230580831","Territory, Globalization and International Relations")</f>
        <v>Territory, Globalization and International Relations</v>
      </c>
      <c r="E799" s="20" t="s">
        <v>1507</v>
      </c>
      <c r="F799" s="15" t="s">
        <v>688</v>
      </c>
      <c r="G799" s="16" t="s">
        <v>1525</v>
      </c>
      <c r="H799" s="17">
        <v>2723</v>
      </c>
      <c r="I799" s="37">
        <v>25</v>
      </c>
      <c r="J799" s="59">
        <v>2042</v>
      </c>
      <c r="K799" s="40">
        <v>86.99</v>
      </c>
      <c r="L799" s="41" t="s">
        <v>275</v>
      </c>
      <c r="M799" s="26" t="s">
        <v>274</v>
      </c>
      <c r="N799" s="11"/>
      <c r="O799" s="15"/>
      <c r="P799" s="16"/>
    </row>
    <row r="800" spans="1:16" s="3" customFormat="1" ht="15" customHeight="1" x14ac:dyDescent="0.25">
      <c r="A800" s="63" t="s">
        <v>1712</v>
      </c>
      <c r="B800" s="22">
        <v>9780333776209</v>
      </c>
      <c r="C800" s="23" t="s">
        <v>653</v>
      </c>
      <c r="D800" s="24" t="s">
        <v>332</v>
      </c>
      <c r="E800" s="23"/>
      <c r="F800" s="25">
        <v>2006</v>
      </c>
      <c r="G800" s="26" t="s">
        <v>1678</v>
      </c>
      <c r="H800" s="27">
        <v>1224</v>
      </c>
      <c r="I800" s="38">
        <v>30</v>
      </c>
      <c r="J800" s="59">
        <v>857</v>
      </c>
      <c r="K800" s="42">
        <v>29.99</v>
      </c>
      <c r="L800" s="43" t="s">
        <v>272</v>
      </c>
      <c r="M800" s="26" t="s">
        <v>273</v>
      </c>
      <c r="N800" s="21"/>
      <c r="O800" s="25">
        <v>208</v>
      </c>
      <c r="P800" s="28" t="s">
        <v>654</v>
      </c>
    </row>
    <row r="801" spans="1:16" s="3" customFormat="1" ht="15" customHeight="1" x14ac:dyDescent="0.25">
      <c r="A801" s="62" t="s">
        <v>1712</v>
      </c>
      <c r="B801" s="12">
        <v>9781137379603</v>
      </c>
      <c r="C801" s="13" t="s">
        <v>1441</v>
      </c>
      <c r="D801" s="14" t="str">
        <f>HYPERLINK("http://www.springer.com/gp/book/9781137379603","The Customization of Science")</f>
        <v>The Customization of Science</v>
      </c>
      <c r="E801" s="20" t="s">
        <v>1442</v>
      </c>
      <c r="F801" s="15" t="s">
        <v>708</v>
      </c>
      <c r="G801" s="16" t="s">
        <v>1525</v>
      </c>
      <c r="H801" s="17">
        <v>2563</v>
      </c>
      <c r="I801" s="37">
        <v>20</v>
      </c>
      <c r="J801" s="59">
        <v>2050</v>
      </c>
      <c r="K801" s="40">
        <v>79.989999999999995</v>
      </c>
      <c r="L801" s="41" t="s">
        <v>275</v>
      </c>
      <c r="M801" s="26" t="s">
        <v>274</v>
      </c>
      <c r="N801" s="11"/>
      <c r="O801" s="15"/>
      <c r="P801" s="16"/>
    </row>
    <row r="802" spans="1:16" s="3" customFormat="1" ht="15" customHeight="1" x14ac:dyDescent="0.25">
      <c r="A802" s="62" t="s">
        <v>1712</v>
      </c>
      <c r="B802" s="12">
        <v>9781137366252</v>
      </c>
      <c r="C802" s="13" t="s">
        <v>1470</v>
      </c>
      <c r="D802" s="14" t="str">
        <f>HYPERLINK("http://www.springer.com/gp/book/9781137366252","The Diplomacy of Culture")</f>
        <v>The Diplomacy of Culture</v>
      </c>
      <c r="E802" s="20" t="s">
        <v>1471</v>
      </c>
      <c r="F802" s="15" t="s">
        <v>708</v>
      </c>
      <c r="G802" s="16" t="s">
        <v>1525</v>
      </c>
      <c r="H802" s="17">
        <v>2817</v>
      </c>
      <c r="I802" s="37">
        <v>20</v>
      </c>
      <c r="J802" s="59">
        <v>2254</v>
      </c>
      <c r="K802" s="40">
        <v>89.99</v>
      </c>
      <c r="L802" s="41" t="s">
        <v>275</v>
      </c>
      <c r="M802" s="26" t="s">
        <v>274</v>
      </c>
      <c r="N802" s="11"/>
      <c r="O802" s="15"/>
      <c r="P802" s="16"/>
    </row>
    <row r="803" spans="1:16" s="3" customFormat="1" ht="15" customHeight="1" x14ac:dyDescent="0.25">
      <c r="A803" s="62" t="s">
        <v>1712</v>
      </c>
      <c r="B803" s="12">
        <v>9781137302557</v>
      </c>
      <c r="C803" s="13" t="s">
        <v>1493</v>
      </c>
      <c r="D803" s="14" t="str">
        <f>HYPERLINK("http://www.springer.com/gp/book/9781137302557","The EU and Immigration Policies")</f>
        <v>The EU and Immigration Policies</v>
      </c>
      <c r="E803" s="20" t="s">
        <v>1494</v>
      </c>
      <c r="F803" s="15" t="s">
        <v>700</v>
      </c>
      <c r="G803" s="16" t="s">
        <v>1525</v>
      </c>
      <c r="H803" s="17">
        <v>2563</v>
      </c>
      <c r="I803" s="37">
        <v>20</v>
      </c>
      <c r="J803" s="59">
        <v>2050</v>
      </c>
      <c r="K803" s="40">
        <v>79.989999999999995</v>
      </c>
      <c r="L803" s="41" t="s">
        <v>275</v>
      </c>
      <c r="M803" s="26" t="s">
        <v>274</v>
      </c>
      <c r="N803" s="11"/>
      <c r="O803" s="15"/>
      <c r="P803" s="16"/>
    </row>
    <row r="804" spans="1:16" s="3" customFormat="1" ht="15" customHeight="1" x14ac:dyDescent="0.25">
      <c r="A804" s="62" t="s">
        <v>1712</v>
      </c>
      <c r="B804" s="12">
        <v>9780230252493</v>
      </c>
      <c r="C804" s="13" t="s">
        <v>1491</v>
      </c>
      <c r="D804" s="14" t="str">
        <f>HYPERLINK("http://www.springer.com/gp/book/9780230252493","The Evolution of Intelligent Systems")</f>
        <v>The Evolution of Intelligent Systems</v>
      </c>
      <c r="E804" s="20" t="s">
        <v>1492</v>
      </c>
      <c r="F804" s="15" t="s">
        <v>688</v>
      </c>
      <c r="G804" s="16" t="s">
        <v>1525</v>
      </c>
      <c r="H804" s="17">
        <v>3130</v>
      </c>
      <c r="I804" s="37">
        <v>25</v>
      </c>
      <c r="J804" s="59">
        <v>2348</v>
      </c>
      <c r="K804" s="40">
        <v>99.99</v>
      </c>
      <c r="L804" s="41" t="s">
        <v>275</v>
      </c>
      <c r="M804" s="26" t="s">
        <v>274</v>
      </c>
      <c r="N804" s="11"/>
      <c r="O804" s="15"/>
      <c r="P804" s="16"/>
    </row>
    <row r="805" spans="1:16" s="3" customFormat="1" ht="15" customHeight="1" x14ac:dyDescent="0.25">
      <c r="A805" s="62" t="s">
        <v>1712</v>
      </c>
      <c r="B805" s="12">
        <v>9780230290945</v>
      </c>
      <c r="C805" s="13" t="s">
        <v>151</v>
      </c>
      <c r="D805" s="14" t="str">
        <f>HYPERLINK("http://www.springer.com/gp/book/9780230290945","The Future of European Social Democracy")</f>
        <v>The Future of European Social Democracy</v>
      </c>
      <c r="E805" s="20" t="s">
        <v>1476</v>
      </c>
      <c r="F805" s="15" t="s">
        <v>752</v>
      </c>
      <c r="G805" s="16" t="s">
        <v>1525</v>
      </c>
      <c r="H805" s="17">
        <v>961</v>
      </c>
      <c r="I805" s="37">
        <v>20</v>
      </c>
      <c r="J805" s="59">
        <v>769</v>
      </c>
      <c r="K805" s="40">
        <v>29.99</v>
      </c>
      <c r="L805" s="41" t="s">
        <v>275</v>
      </c>
      <c r="M805" s="19" t="s">
        <v>273</v>
      </c>
      <c r="N805" s="11"/>
      <c r="O805" s="15"/>
      <c r="P805" s="16"/>
    </row>
    <row r="806" spans="1:16" s="3" customFormat="1" ht="15" customHeight="1" x14ac:dyDescent="0.25">
      <c r="A806" s="62" t="s">
        <v>1712</v>
      </c>
      <c r="B806" s="12">
        <v>9781137407160</v>
      </c>
      <c r="C806" s="13" t="s">
        <v>1443</v>
      </c>
      <c r="D806" s="14" t="str">
        <f>HYPERLINK("http://www.springer.com/gp/book/9781137407160","The Hyper(in)visible Fat Woman")</f>
        <v>The Hyper(in)visible Fat Woman</v>
      </c>
      <c r="E806" s="20" t="s">
        <v>1444</v>
      </c>
      <c r="F806" s="15" t="s">
        <v>708</v>
      </c>
      <c r="G806" s="16" t="s">
        <v>1525</v>
      </c>
      <c r="H806" s="17">
        <v>2660</v>
      </c>
      <c r="I806" s="37">
        <v>20</v>
      </c>
      <c r="J806" s="59">
        <v>2128</v>
      </c>
      <c r="K806" s="40">
        <v>84.99</v>
      </c>
      <c r="L806" s="41" t="s">
        <v>275</v>
      </c>
      <c r="M806" s="26" t="s">
        <v>274</v>
      </c>
      <c r="N806" s="11"/>
      <c r="O806" s="15"/>
      <c r="P806" s="16"/>
    </row>
    <row r="807" spans="1:16" s="3" customFormat="1" ht="15" customHeight="1" x14ac:dyDescent="0.25">
      <c r="A807" s="62" t="s">
        <v>1712</v>
      </c>
      <c r="B807" s="12">
        <v>9781137353160</v>
      </c>
      <c r="C807" s="13" t="s">
        <v>1434</v>
      </c>
      <c r="D807" s="14" t="str">
        <f>HYPERLINK("http://www.springer.com/gp/book/9781137353160","The Moral Panics of Sexuality")</f>
        <v>The Moral Panics of Sexuality</v>
      </c>
      <c r="E807" s="20"/>
      <c r="F807" s="15" t="s">
        <v>700</v>
      </c>
      <c r="G807" s="16" t="s">
        <v>1525</v>
      </c>
      <c r="H807" s="17">
        <v>2563</v>
      </c>
      <c r="I807" s="37">
        <v>20</v>
      </c>
      <c r="J807" s="59">
        <v>2050</v>
      </c>
      <c r="K807" s="40">
        <v>79.989999999999995</v>
      </c>
      <c r="L807" s="41" t="s">
        <v>275</v>
      </c>
      <c r="M807" s="26" t="s">
        <v>274</v>
      </c>
      <c r="N807" s="11"/>
      <c r="O807" s="15"/>
      <c r="P807" s="16"/>
    </row>
    <row r="808" spans="1:16" s="3" customFormat="1" ht="15" customHeight="1" x14ac:dyDescent="0.25">
      <c r="A808" s="62" t="s">
        <v>1712</v>
      </c>
      <c r="B808" s="12">
        <v>9781403932389</v>
      </c>
      <c r="C808" s="13" t="s">
        <v>1391</v>
      </c>
      <c r="D808" s="14" t="str">
        <f>HYPERLINK("http://www.springer.com/gp/book/9781403932389","The Politics of Inclusion and Empowerment")</f>
        <v>The Politics of Inclusion and Empowerment</v>
      </c>
      <c r="E808" s="20" t="s">
        <v>1392</v>
      </c>
      <c r="F808" s="15" t="s">
        <v>808</v>
      </c>
      <c r="G808" s="16" t="s">
        <v>1525</v>
      </c>
      <c r="H808" s="17">
        <v>4069</v>
      </c>
      <c r="I808" s="38">
        <v>30</v>
      </c>
      <c r="J808" s="59">
        <v>2848</v>
      </c>
      <c r="K808" s="40">
        <v>129.99</v>
      </c>
      <c r="L808" s="41" t="s">
        <v>275</v>
      </c>
      <c r="M808" s="26" t="s">
        <v>274</v>
      </c>
      <c r="N808" s="11"/>
      <c r="O808" s="15"/>
      <c r="P808" s="16"/>
    </row>
    <row r="809" spans="1:16" s="3" customFormat="1" ht="15" customHeight="1" x14ac:dyDescent="0.25">
      <c r="A809" s="62" t="s">
        <v>1712</v>
      </c>
      <c r="B809" s="12">
        <v>9781137003386</v>
      </c>
      <c r="C809" s="13" t="s">
        <v>166</v>
      </c>
      <c r="D809" s="14" t="str">
        <f>HYPERLINK("http://www.springer.com/gp/book/9781137003386","The Politics of Sex Trafficking")</f>
        <v>The Politics of Sex Trafficking</v>
      </c>
      <c r="E809" s="20" t="s">
        <v>1483</v>
      </c>
      <c r="F809" s="15" t="s">
        <v>700</v>
      </c>
      <c r="G809" s="16" t="s">
        <v>1525</v>
      </c>
      <c r="H809" s="17">
        <v>2563</v>
      </c>
      <c r="I809" s="37">
        <v>20</v>
      </c>
      <c r="J809" s="59">
        <v>2050</v>
      </c>
      <c r="K809" s="40">
        <v>79.989999999999995</v>
      </c>
      <c r="L809" s="41" t="s">
        <v>275</v>
      </c>
      <c r="M809" s="26" t="s">
        <v>274</v>
      </c>
      <c r="N809" s="11"/>
      <c r="O809" s="15"/>
      <c r="P809" s="16"/>
    </row>
    <row r="810" spans="1:16" s="3" customFormat="1" ht="15" customHeight="1" x14ac:dyDescent="0.25">
      <c r="A810" s="62" t="s">
        <v>1712</v>
      </c>
      <c r="B810" s="12">
        <v>9780230284388</v>
      </c>
      <c r="C810" s="13" t="s">
        <v>166</v>
      </c>
      <c r="D810" s="14" t="str">
        <f>HYPERLINK("http://www.springer.com/gp/book/9780230284388","The Politics of Tourism Development")</f>
        <v>The Politics of Tourism Development</v>
      </c>
      <c r="E810" s="20" t="s">
        <v>1482</v>
      </c>
      <c r="F810" s="15" t="s">
        <v>714</v>
      </c>
      <c r="G810" s="16" t="s">
        <v>1525</v>
      </c>
      <c r="H810" s="17">
        <v>2973</v>
      </c>
      <c r="I810" s="37">
        <v>25</v>
      </c>
      <c r="J810" s="59">
        <v>2230</v>
      </c>
      <c r="K810" s="40">
        <v>94.99</v>
      </c>
      <c r="L810" s="41" t="s">
        <v>275</v>
      </c>
      <c r="M810" s="26" t="s">
        <v>274</v>
      </c>
      <c r="N810" s="11"/>
      <c r="O810" s="15"/>
      <c r="P810" s="16"/>
    </row>
    <row r="811" spans="1:16" s="3" customFormat="1" ht="15" customHeight="1" x14ac:dyDescent="0.25">
      <c r="A811" s="62" t="s">
        <v>1712</v>
      </c>
      <c r="B811" s="12">
        <v>9780230606623</v>
      </c>
      <c r="C811" s="13" t="s">
        <v>1484</v>
      </c>
      <c r="D811" s="14" t="str">
        <f>HYPERLINK("http://www.springer.com/gp/book/9780230606623","The Theory and Practice of Islamic Terrorism")</f>
        <v>The Theory and Practice of Islamic Terrorism</v>
      </c>
      <c r="E811" s="20" t="s">
        <v>1485</v>
      </c>
      <c r="F811" s="15" t="s">
        <v>705</v>
      </c>
      <c r="G811" s="16" t="s">
        <v>1525</v>
      </c>
      <c r="H811" s="17">
        <v>3130</v>
      </c>
      <c r="I811" s="37">
        <v>25</v>
      </c>
      <c r="J811" s="59">
        <v>2348</v>
      </c>
      <c r="K811" s="40">
        <v>99.99</v>
      </c>
      <c r="L811" s="41" t="s">
        <v>275</v>
      </c>
      <c r="M811" s="26" t="s">
        <v>274</v>
      </c>
      <c r="N811" s="11"/>
      <c r="O811" s="15"/>
      <c r="P811" s="16"/>
    </row>
    <row r="812" spans="1:16" s="3" customFormat="1" ht="15" customHeight="1" x14ac:dyDescent="0.25">
      <c r="A812" s="62" t="s">
        <v>1712</v>
      </c>
      <c r="B812" s="12">
        <v>9780230246348</v>
      </c>
      <c r="C812" s="13" t="s">
        <v>1473</v>
      </c>
      <c r="D812" s="14" t="str">
        <f>HYPERLINK("http://www.springer.com/gp/book/9780230246348","Transformation of Education Policy")</f>
        <v>Transformation of Education Policy</v>
      </c>
      <c r="E812" s="20"/>
      <c r="F812" s="15" t="s">
        <v>688</v>
      </c>
      <c r="G812" s="16" t="s">
        <v>1525</v>
      </c>
      <c r="H812" s="17">
        <v>3286</v>
      </c>
      <c r="I812" s="37">
        <v>25</v>
      </c>
      <c r="J812" s="59">
        <v>2465</v>
      </c>
      <c r="K812" s="40">
        <v>104.99</v>
      </c>
      <c r="L812" s="41" t="s">
        <v>275</v>
      </c>
      <c r="M812" s="26" t="s">
        <v>274</v>
      </c>
      <c r="N812" s="11"/>
      <c r="O812" s="15"/>
      <c r="P812" s="16"/>
    </row>
    <row r="813" spans="1:16" s="3" customFormat="1" ht="15" customHeight="1" x14ac:dyDescent="0.25">
      <c r="A813" s="62" t="s">
        <v>1712</v>
      </c>
      <c r="B813" s="12">
        <v>9781137328663</v>
      </c>
      <c r="C813" s="13" t="s">
        <v>938</v>
      </c>
      <c r="D813" s="14" t="str">
        <f>HYPERLINK("http://www.springer.com/gp/book/9781137328663","Understanding Lifestyle Migration")</f>
        <v>Understanding Lifestyle Migration</v>
      </c>
      <c r="E813" s="20" t="s">
        <v>1411</v>
      </c>
      <c r="F813" s="15" t="s">
        <v>708</v>
      </c>
      <c r="G813" s="16" t="s">
        <v>1525</v>
      </c>
      <c r="H813" s="17">
        <v>2817</v>
      </c>
      <c r="I813" s="37">
        <v>20</v>
      </c>
      <c r="J813" s="59">
        <v>2254</v>
      </c>
      <c r="K813" s="40">
        <v>89.99</v>
      </c>
      <c r="L813" s="41" t="s">
        <v>275</v>
      </c>
      <c r="M813" s="26" t="s">
        <v>274</v>
      </c>
      <c r="N813" s="11"/>
      <c r="O813" s="15"/>
      <c r="P813" s="16"/>
    </row>
    <row r="814" spans="1:16" s="3" customFormat="1" ht="15" customHeight="1" x14ac:dyDescent="0.25">
      <c r="A814" s="63" t="s">
        <v>1712</v>
      </c>
      <c r="B814" s="34">
        <v>9780230221802</v>
      </c>
      <c r="C814" s="23" t="s">
        <v>289</v>
      </c>
      <c r="D814" s="24" t="s">
        <v>290</v>
      </c>
      <c r="E814" s="23" t="s">
        <v>1537</v>
      </c>
      <c r="F814" s="25">
        <v>2009</v>
      </c>
      <c r="G814" s="26" t="s">
        <v>4</v>
      </c>
      <c r="H814" s="27">
        <v>938</v>
      </c>
      <c r="I814" s="37">
        <v>25</v>
      </c>
      <c r="J814" s="59">
        <v>704</v>
      </c>
      <c r="K814" s="42">
        <v>22.99</v>
      </c>
      <c r="L814" s="45" t="s">
        <v>272</v>
      </c>
      <c r="M814" s="19" t="s">
        <v>273</v>
      </c>
      <c r="N814" s="21" t="s">
        <v>1680</v>
      </c>
      <c r="O814" s="35">
        <v>256</v>
      </c>
      <c r="P814" s="19" t="s">
        <v>1538</v>
      </c>
    </row>
    <row r="815" spans="1:16" s="3" customFormat="1" ht="15" customHeight="1" x14ac:dyDescent="0.25">
      <c r="A815" s="62" t="s">
        <v>1712</v>
      </c>
      <c r="B815" s="12">
        <v>9780230236264</v>
      </c>
      <c r="C815" s="13" t="s">
        <v>1488</v>
      </c>
      <c r="D815" s="14" t="str">
        <f>HYPERLINK("http://www.springer.com/gp/book/9780230236264","What is Radical Politics Today?")</f>
        <v>What is Radical Politics Today?</v>
      </c>
      <c r="E815" s="20"/>
      <c r="F815" s="15" t="s">
        <v>696</v>
      </c>
      <c r="G815" s="16" t="s">
        <v>1525</v>
      </c>
      <c r="H815" s="17">
        <v>1185</v>
      </c>
      <c r="I815" s="37">
        <v>25</v>
      </c>
      <c r="J815" s="59">
        <v>889</v>
      </c>
      <c r="K815" s="40">
        <v>36.99</v>
      </c>
      <c r="L815" s="41" t="s">
        <v>275</v>
      </c>
      <c r="M815" s="19" t="s">
        <v>273</v>
      </c>
      <c r="N815" s="11"/>
      <c r="O815" s="15"/>
      <c r="P815" s="16"/>
    </row>
    <row r="816" spans="1:16" s="3" customFormat="1" ht="15" customHeight="1" x14ac:dyDescent="0.25">
      <c r="A816" s="62" t="s">
        <v>1712</v>
      </c>
      <c r="B816" s="12">
        <v>9781137449450</v>
      </c>
      <c r="C816" s="13" t="s">
        <v>1489</v>
      </c>
      <c r="D816" s="14" t="str">
        <f>HYPERLINK("http://www.springer.com/gp/book/9781137449450","Work, Family and Commuting in Europe")</f>
        <v>Work, Family and Commuting in Europe</v>
      </c>
      <c r="E816" s="20" t="s">
        <v>1490</v>
      </c>
      <c r="F816" s="15" t="s">
        <v>694</v>
      </c>
      <c r="G816" s="16" t="s">
        <v>1525</v>
      </c>
      <c r="H816" s="17">
        <v>2083</v>
      </c>
      <c r="I816" s="37">
        <v>20</v>
      </c>
      <c r="J816" s="59">
        <v>1666</v>
      </c>
      <c r="K816" s="40">
        <v>64.989999999999995</v>
      </c>
      <c r="L816" s="41" t="s">
        <v>275</v>
      </c>
      <c r="M816" s="26" t="s">
        <v>274</v>
      </c>
      <c r="N816" s="11"/>
      <c r="O816" s="15"/>
      <c r="P816" s="16"/>
    </row>
    <row r="817" spans="1:16" s="3" customFormat="1" ht="15" customHeight="1" x14ac:dyDescent="0.25">
      <c r="A817" s="62" t="s">
        <v>1712</v>
      </c>
      <c r="B817" s="12">
        <v>9781403901156</v>
      </c>
      <c r="C817" s="13" t="s">
        <v>1409</v>
      </c>
      <c r="D817" s="14" t="str">
        <f>HYPERLINK("http://www.springer.com/gp/book/9781403901156","World Memory")</f>
        <v>World Memory</v>
      </c>
      <c r="E817" s="20" t="s">
        <v>1410</v>
      </c>
      <c r="F817" s="15" t="s">
        <v>799</v>
      </c>
      <c r="G817" s="16" t="s">
        <v>1525</v>
      </c>
      <c r="H817" s="17">
        <v>4069</v>
      </c>
      <c r="I817" s="38">
        <v>30</v>
      </c>
      <c r="J817" s="59">
        <v>2848</v>
      </c>
      <c r="K817" s="40">
        <v>129.99</v>
      </c>
      <c r="L817" s="41" t="s">
        <v>275</v>
      </c>
      <c r="M817" s="26" t="s">
        <v>274</v>
      </c>
      <c r="N817" s="11"/>
      <c r="O817" s="15"/>
      <c r="P817" s="16"/>
    </row>
    <row r="818" spans="1:16" s="3" customFormat="1" ht="15" customHeight="1" x14ac:dyDescent="0.25">
      <c r="A818" s="63" t="s">
        <v>1711</v>
      </c>
      <c r="B818" s="22">
        <v>9780230537538</v>
      </c>
      <c r="C818" s="23" t="s">
        <v>42</v>
      </c>
      <c r="D818" s="24" t="s">
        <v>577</v>
      </c>
      <c r="E818" s="23"/>
      <c r="F818" s="25">
        <v>2007</v>
      </c>
      <c r="G818" s="26" t="s">
        <v>1678</v>
      </c>
      <c r="H818" s="27">
        <v>857</v>
      </c>
      <c r="I818" s="38">
        <v>30</v>
      </c>
      <c r="J818" s="59">
        <v>600</v>
      </c>
      <c r="K818" s="42">
        <v>20.99</v>
      </c>
      <c r="L818" s="43" t="s">
        <v>272</v>
      </c>
      <c r="M818" s="26" t="s">
        <v>273</v>
      </c>
      <c r="N818" s="21"/>
      <c r="O818" s="25">
        <v>232</v>
      </c>
      <c r="P818" s="28" t="s">
        <v>578</v>
      </c>
    </row>
    <row r="819" spans="1:16" s="3" customFormat="1" ht="15" customHeight="1" x14ac:dyDescent="0.25">
      <c r="A819" s="63" t="s">
        <v>1711</v>
      </c>
      <c r="B819" s="12">
        <v>9780230521094</v>
      </c>
      <c r="C819" s="13" t="s">
        <v>846</v>
      </c>
      <c r="D819" s="14" t="str">
        <f>HYPERLINK("http://www.springer.com/gp/book/9780230521094","National Theatres in a Changing Europe")</f>
        <v>National Theatres in a Changing Europe</v>
      </c>
      <c r="E819" s="20"/>
      <c r="F819" s="15" t="s">
        <v>705</v>
      </c>
      <c r="G819" s="16" t="s">
        <v>1525</v>
      </c>
      <c r="H819" s="17">
        <v>3130</v>
      </c>
      <c r="I819" s="37">
        <v>25</v>
      </c>
      <c r="J819" s="59">
        <v>2348</v>
      </c>
      <c r="K819" s="40">
        <v>99.99</v>
      </c>
      <c r="L819" s="41" t="s">
        <v>275</v>
      </c>
      <c r="M819" s="26" t="s">
        <v>274</v>
      </c>
      <c r="N819" s="11"/>
      <c r="O819" s="15"/>
      <c r="P819" s="16"/>
    </row>
    <row r="820" spans="1:16" s="3" customFormat="1" ht="15" customHeight="1" x14ac:dyDescent="0.25">
      <c r="A820" s="62" t="s">
        <v>1711</v>
      </c>
      <c r="B820" s="22">
        <v>9781137270948</v>
      </c>
      <c r="C820" s="23" t="s">
        <v>26</v>
      </c>
      <c r="D820" s="24" t="s">
        <v>27</v>
      </c>
      <c r="E820" s="23"/>
      <c r="F820" s="25">
        <v>2014</v>
      </c>
      <c r="G820" s="26" t="s">
        <v>1678</v>
      </c>
      <c r="H820" s="27">
        <v>816</v>
      </c>
      <c r="I820" s="37">
        <v>20</v>
      </c>
      <c r="J820" s="59">
        <v>653</v>
      </c>
      <c r="K820" s="42">
        <v>19.989999999999998</v>
      </c>
      <c r="L820" s="43" t="s">
        <v>272</v>
      </c>
      <c r="M820" s="26" t="s">
        <v>273</v>
      </c>
      <c r="N820" s="21"/>
      <c r="O820" s="25">
        <v>284</v>
      </c>
      <c r="P820" s="28" t="s">
        <v>640</v>
      </c>
    </row>
    <row r="821" spans="1:16" s="3" customFormat="1" ht="15" customHeight="1" x14ac:dyDescent="0.25">
      <c r="A821" s="62" t="s">
        <v>1711</v>
      </c>
      <c r="B821" s="12">
        <v>9781137322647</v>
      </c>
      <c r="C821" s="13" t="s">
        <v>844</v>
      </c>
      <c r="D821" s="14" t="str">
        <f>HYPERLINK("http://www.springer.com/gp/book/9781137322647","Theatricality, Dark Tourism and Ethical Spectatorship")</f>
        <v>Theatricality, Dark Tourism and Ethical Spectatorship</v>
      </c>
      <c r="E821" s="20" t="s">
        <v>845</v>
      </c>
      <c r="F821" s="15" t="s">
        <v>708</v>
      </c>
      <c r="G821" s="16" t="s">
        <v>1525</v>
      </c>
      <c r="H821" s="17">
        <v>2243</v>
      </c>
      <c r="I821" s="37">
        <v>20</v>
      </c>
      <c r="J821" s="59">
        <v>1794</v>
      </c>
      <c r="K821" s="40">
        <v>69.989999999999995</v>
      </c>
      <c r="L821" s="41" t="s">
        <v>275</v>
      </c>
      <c r="M821" s="26" t="s">
        <v>274</v>
      </c>
      <c r="N821" s="11"/>
      <c r="O821" s="15"/>
      <c r="P821" s="16"/>
    </row>
    <row r="822" spans="1:16" s="3" customFormat="1" ht="15" customHeight="1" x14ac:dyDescent="0.25">
      <c r="A822" s="63" t="s">
        <v>1711</v>
      </c>
      <c r="B822" s="12">
        <v>9781137437341</v>
      </c>
      <c r="C822" s="13" t="s">
        <v>838</v>
      </c>
      <c r="D822" s="14" t="str">
        <f>HYPERLINK("http://www.springer.com/gp/book/9781137437341","Transatlantic Broadway")</f>
        <v>Transatlantic Broadway</v>
      </c>
      <c r="E822" s="20" t="s">
        <v>839</v>
      </c>
      <c r="F822" s="15" t="s">
        <v>694</v>
      </c>
      <c r="G822" s="16" t="s">
        <v>1525</v>
      </c>
      <c r="H822" s="17">
        <v>2563</v>
      </c>
      <c r="I822" s="37">
        <v>20</v>
      </c>
      <c r="J822" s="59">
        <v>2050</v>
      </c>
      <c r="K822" s="40">
        <v>79.989999999999995</v>
      </c>
      <c r="L822" s="41" t="s">
        <v>275</v>
      </c>
      <c r="M822" s="26" t="s">
        <v>274</v>
      </c>
      <c r="N822" s="11"/>
      <c r="O822" s="15"/>
      <c r="P822" s="16"/>
    </row>
  </sheetData>
  <sortState ref="A3:Q811">
    <sortCondition ref="A3:A811"/>
  </sortState>
  <conditionalFormatting sqref="B728:B822">
    <cfRule type="duplicateValues" dxfId="0" priority="1"/>
  </conditionalFormatting>
  <hyperlinks>
    <hyperlink ref="A11" r:id="rId1"/>
    <hyperlink ref="C2" r:id="rId2"/>
  </hyperlinks>
  <pageMargins left="0.7" right="0.7" top="0.75" bottom="0.75" header="0.3" footer="0.3"/>
  <pageSetup paperSize="9" orientation="portrait" horizontalDpi="0"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Palgrave Macmillan výprodej</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dc:creator>
  <cp:lastModifiedBy>Jana</cp:lastModifiedBy>
  <dcterms:created xsi:type="dcterms:W3CDTF">2014-02-12T12:43:20Z</dcterms:created>
  <dcterms:modified xsi:type="dcterms:W3CDTF">2016-04-19T13:53:07Z</dcterms:modified>
</cp:coreProperties>
</file>